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4"/>
  </bookViews>
  <sheets>
    <sheet name="Лист4" sheetId="9" state="hidden" r:id="rId1"/>
    <sheet name="Сводная" sheetId="1" r:id="rId2"/>
    <sheet name="Секция 1" sheetId="2" r:id="rId3"/>
    <sheet name="Секция 2" sheetId="3" r:id="rId4"/>
    <sheet name="Секция 3" sheetId="4" r:id="rId5"/>
  </sheets>
  <definedNames>
    <definedName name="_gjdgxs" localSheetId="1">Сводная!$B$24</definedName>
    <definedName name="_Hlk124849738" localSheetId="1">Сводная!$C$9</definedName>
    <definedName name="_xlnm._FilterDatabase" localSheetId="2" hidden="1">'Секция 1'!$B$3:$I$35</definedName>
    <definedName name="_xlnm._FilterDatabase" localSheetId="3" hidden="1">'Секция 2'!$B$3:$I$36</definedName>
    <definedName name="_xlnm._FilterDatabase" localSheetId="4" hidden="1">'Секция 3'!$B$3:$I$10</definedName>
  </definedNames>
  <calcPr calcId="152511"/>
  <pivotCaches>
    <pivotCache cacheId="0" r:id="rId6"/>
    <pivotCache cacheId="1" r:id="rId7"/>
    <pivotCache cacheId="2" r:id="rId8"/>
  </pivotCaches>
</workbook>
</file>

<file path=xl/calcChain.xml><?xml version="1.0" encoding="utf-8"?>
<calcChain xmlns="http://schemas.openxmlformats.org/spreadsheetml/2006/main">
  <c r="G4" i="3" l="1"/>
  <c r="G26" i="3"/>
  <c r="G7" i="3"/>
  <c r="G36" i="3"/>
  <c r="G15" i="3"/>
  <c r="G35" i="3"/>
  <c r="G34" i="3"/>
  <c r="G31" i="3"/>
  <c r="G32" i="3"/>
  <c r="G18" i="3"/>
  <c r="G22" i="3"/>
  <c r="G14" i="3"/>
  <c r="G8" i="3"/>
  <c r="G30" i="3"/>
  <c r="G10" i="3"/>
  <c r="G33" i="3"/>
  <c r="G29" i="3"/>
  <c r="G16" i="3"/>
  <c r="G20" i="3"/>
  <c r="G13" i="3"/>
  <c r="G17" i="3"/>
  <c r="G21" i="3"/>
  <c r="G28" i="3"/>
  <c r="G12" i="3"/>
  <c r="G11" i="3"/>
  <c r="G19" i="3"/>
  <c r="G25" i="3"/>
  <c r="G6" i="3"/>
  <c r="G5" i="3"/>
  <c r="G23" i="3"/>
  <c r="G24" i="3"/>
  <c r="G9" i="3"/>
  <c r="G27" i="3"/>
  <c r="H4" i="2" l="1"/>
  <c r="G11" i="2"/>
  <c r="G13" i="2"/>
  <c r="G10" i="2"/>
  <c r="G23" i="2"/>
  <c r="G15" i="2"/>
  <c r="G27" i="2"/>
  <c r="G35" i="2"/>
  <c r="G26" i="2"/>
  <c r="G14" i="2"/>
  <c r="G16" i="2"/>
  <c r="G22" i="2"/>
  <c r="G18" i="2"/>
  <c r="G29" i="2"/>
  <c r="G20" i="2"/>
  <c r="G12" i="2"/>
  <c r="G7" i="2"/>
  <c r="G8" i="2"/>
  <c r="G31" i="2"/>
  <c r="G21" i="2"/>
  <c r="G30" i="2"/>
  <c r="G9" i="2"/>
  <c r="G5" i="2"/>
  <c r="G4" i="2"/>
  <c r="G19" i="2"/>
  <c r="G25" i="2"/>
  <c r="G34" i="2"/>
  <c r="G28" i="2"/>
  <c r="G33" i="2"/>
  <c r="G24" i="2"/>
  <c r="G17" i="2"/>
  <c r="G32" i="2"/>
  <c r="G6" i="2"/>
  <c r="F11" i="2"/>
  <c r="F13" i="2"/>
  <c r="F10" i="2"/>
  <c r="F23" i="2"/>
  <c r="F15" i="2"/>
  <c r="F27" i="2"/>
  <c r="F35" i="2"/>
  <c r="F26" i="2"/>
  <c r="F14" i="2"/>
  <c r="F16" i="2"/>
  <c r="F22" i="2"/>
  <c r="F18" i="2"/>
  <c r="F29" i="2"/>
  <c r="F20" i="2"/>
  <c r="F12" i="2"/>
  <c r="F7" i="2"/>
  <c r="F8" i="2"/>
  <c r="F31" i="2"/>
  <c r="F21" i="2"/>
  <c r="H21" i="2" s="1"/>
  <c r="F30" i="2"/>
  <c r="F9" i="2"/>
  <c r="F5" i="2"/>
  <c r="F4" i="2"/>
  <c r="F19" i="2"/>
  <c r="F25" i="2"/>
  <c r="F34" i="2"/>
  <c r="H34" i="2" s="1"/>
  <c r="F28" i="2"/>
  <c r="F33" i="2"/>
  <c r="F24" i="2"/>
  <c r="F17" i="2"/>
  <c r="F32" i="2"/>
  <c r="F6" i="2"/>
  <c r="H6" i="2" s="1"/>
  <c r="E11" i="2"/>
  <c r="E13" i="2"/>
  <c r="E10" i="2"/>
  <c r="E23" i="2"/>
  <c r="E15" i="2"/>
  <c r="E27" i="2"/>
  <c r="E35" i="2"/>
  <c r="E26" i="2"/>
  <c r="E14" i="2"/>
  <c r="E16" i="2"/>
  <c r="E22" i="2"/>
  <c r="E18" i="2"/>
  <c r="E29" i="2"/>
  <c r="E20" i="2"/>
  <c r="E12" i="2"/>
  <c r="E7" i="2"/>
  <c r="E8" i="2"/>
  <c r="E31" i="2"/>
  <c r="E21" i="2"/>
  <c r="E30" i="2"/>
  <c r="E9" i="2"/>
  <c r="E5" i="2"/>
  <c r="H5" i="2" s="1"/>
  <c r="E4" i="2"/>
  <c r="E19" i="2"/>
  <c r="E25" i="2"/>
  <c r="E34" i="2"/>
  <c r="E28" i="2"/>
  <c r="H28" i="2" s="1"/>
  <c r="E33" i="2"/>
  <c r="E24" i="2"/>
  <c r="E17" i="2"/>
  <c r="E32" i="2"/>
  <c r="E6" i="2"/>
  <c r="H32" i="2"/>
  <c r="H17" i="2"/>
  <c r="H24" i="2"/>
  <c r="H33" i="2"/>
  <c r="H25" i="2"/>
  <c r="H19" i="2"/>
  <c r="H9" i="2"/>
  <c r="H30" i="2"/>
  <c r="H31" i="2"/>
  <c r="H8" i="2"/>
  <c r="H7" i="2"/>
  <c r="H12" i="2"/>
  <c r="H20" i="2"/>
  <c r="H29" i="2"/>
  <c r="H18" i="2"/>
  <c r="H22" i="2"/>
  <c r="H16" i="2"/>
  <c r="H14" i="2"/>
  <c r="H26" i="2"/>
  <c r="H35" i="2"/>
  <c r="H27" i="2"/>
  <c r="H15" i="2"/>
  <c r="H23" i="2"/>
  <c r="H10" i="2"/>
  <c r="H13" i="2"/>
  <c r="H11" i="2"/>
  <c r="E6" i="4"/>
  <c r="E5" i="4"/>
  <c r="E10" i="4"/>
  <c r="E8" i="4"/>
  <c r="E4" i="4"/>
  <c r="E7" i="4"/>
  <c r="E9" i="4"/>
  <c r="F4" i="3"/>
  <c r="F26" i="3"/>
  <c r="F7" i="3"/>
  <c r="F36" i="3"/>
  <c r="F15" i="3"/>
  <c r="F35" i="3"/>
  <c r="F34" i="3"/>
  <c r="F31" i="3"/>
  <c r="F32" i="3"/>
  <c r="F18" i="3"/>
  <c r="F22" i="3"/>
  <c r="F14" i="3"/>
  <c r="H14" i="3" s="1"/>
  <c r="F8" i="3"/>
  <c r="F30" i="3"/>
  <c r="F10" i="3"/>
  <c r="F33" i="3"/>
  <c r="F29" i="3"/>
  <c r="F16" i="3"/>
  <c r="F20" i="3"/>
  <c r="F13" i="3"/>
  <c r="F17" i="3"/>
  <c r="F21" i="3"/>
  <c r="F28" i="3"/>
  <c r="F12" i="3"/>
  <c r="F11" i="3"/>
  <c r="H11" i="3" s="1"/>
  <c r="F19" i="3"/>
  <c r="F25" i="3"/>
  <c r="F6" i="3"/>
  <c r="F5" i="3"/>
  <c r="F23" i="3"/>
  <c r="F24" i="3"/>
  <c r="F9" i="3"/>
  <c r="F27" i="3"/>
  <c r="E4" i="3"/>
  <c r="E26" i="3"/>
  <c r="E7" i="3"/>
  <c r="E36" i="3"/>
  <c r="H36" i="3" s="1"/>
  <c r="E15" i="3"/>
  <c r="E35" i="3"/>
  <c r="E34" i="3"/>
  <c r="H34" i="3" s="1"/>
  <c r="E31" i="3"/>
  <c r="E32" i="3"/>
  <c r="E18" i="3"/>
  <c r="E22" i="3"/>
  <c r="E14" i="3"/>
  <c r="E8" i="3"/>
  <c r="H8" i="3" s="1"/>
  <c r="E30" i="3"/>
  <c r="E10" i="3"/>
  <c r="E33" i="3"/>
  <c r="E29" i="3"/>
  <c r="E16" i="3"/>
  <c r="E20" i="3"/>
  <c r="E13" i="3"/>
  <c r="H13" i="3" s="1"/>
  <c r="E17" i="3"/>
  <c r="E21" i="3"/>
  <c r="H21" i="3" s="1"/>
  <c r="E28" i="3"/>
  <c r="E12" i="3"/>
  <c r="E11" i="3"/>
  <c r="E19" i="3"/>
  <c r="E25" i="3"/>
  <c r="E6" i="3"/>
  <c r="E5" i="3"/>
  <c r="H5" i="3" s="1"/>
  <c r="E23" i="3"/>
  <c r="E24" i="3"/>
  <c r="E9" i="3"/>
  <c r="H9" i="3" s="1"/>
  <c r="H24" i="3"/>
  <c r="H6" i="3"/>
  <c r="H25" i="3"/>
  <c r="H19" i="3"/>
  <c r="H12" i="3"/>
  <c r="H28" i="3"/>
  <c r="H17" i="3"/>
  <c r="H20" i="3"/>
  <c r="H16" i="3"/>
  <c r="H29" i="3"/>
  <c r="H33" i="3"/>
  <c r="H10" i="3"/>
  <c r="H30" i="3"/>
  <c r="H22" i="3"/>
  <c r="H18" i="3"/>
  <c r="H32" i="3"/>
  <c r="H31" i="3"/>
  <c r="H35" i="3"/>
  <c r="H15" i="3"/>
  <c r="H7" i="3"/>
  <c r="H26" i="3"/>
  <c r="H4" i="3"/>
  <c r="H27" i="3"/>
  <c r="E27" i="3"/>
  <c r="H23" i="3" l="1"/>
  <c r="H7" i="4"/>
  <c r="H4" i="4"/>
  <c r="H8" i="4"/>
  <c r="H10" i="4"/>
  <c r="H5" i="4"/>
  <c r="H6" i="4"/>
  <c r="H9" i="4"/>
  <c r="G6" i="4"/>
  <c r="G5" i="4"/>
  <c r="G10" i="4"/>
  <c r="G8" i="4"/>
  <c r="G4" i="4"/>
  <c r="G7" i="4"/>
  <c r="G9" i="4"/>
  <c r="F6" i="4" l="1"/>
  <c r="F5" i="4"/>
  <c r="F10" i="4"/>
  <c r="F8" i="4"/>
  <c r="F4" i="4"/>
  <c r="F7" i="4"/>
  <c r="F9" i="4"/>
</calcChain>
</file>

<file path=xl/sharedStrings.xml><?xml version="1.0" encoding="utf-8"?>
<sst xmlns="http://schemas.openxmlformats.org/spreadsheetml/2006/main" count="223" uniqueCount="168">
  <si>
    <t>№</t>
  </si>
  <si>
    <t>ФИО, должность, ОУ</t>
  </si>
  <si>
    <t>Название работы</t>
  </si>
  <si>
    <t>Батырев Дмитрий Сергеевич, преподаватель ГАПОУ СО «Баранчинский электромеханический техникум»</t>
  </si>
  <si>
    <t>Методические рекомендации по применению средств электронного обучения при подготовке специалистов в области информационных технологий</t>
  </si>
  <si>
    <t xml:space="preserve">Бош Кристина Александровна, педагог-организатор ГАПОУ СО «Каменск-Уральский политехнический колледж» </t>
  </si>
  <si>
    <t>Воспитательное событие как один из способов достижения личностных результатов</t>
  </si>
  <si>
    <t>Методические рекомендации по выполнению практических работ по учебному предмету ОУД 12 «Введение в профессию»</t>
  </si>
  <si>
    <t>Технологическая карта для специальности 38.02.03 Операционная деятельность в логистике (2 часа)</t>
  </si>
  <si>
    <t>Ембалаева Елена Валерьевна, преподаватель ГАПОУ СО «Ревдинский многопрофильный техникум»</t>
  </si>
  <si>
    <t>Желнов Владимир Владимирович, преподаватель ГАПОУ СО «Нижнетагильский педагогический колледж №2»</t>
  </si>
  <si>
    <t>Рабочая тетрадь ПМ 01 Организация мероприятий, направленных на укрепление здоровья и физическое развитие детей с ограниченными возможностями здоровья и с сохранным развитием МДК 01.02 Теоретические и методические основы физического воспитания и развития детей раннего и дошкольного возраста</t>
  </si>
  <si>
    <t>Кравченя Ольга Николаевна, преподаватель УО «Солигорский государственных колледж»</t>
  </si>
  <si>
    <t>Комплект практических работ по учебному предмету «Электротехника», раздел «Постоянный электрический ток»</t>
  </si>
  <si>
    <t>Куликова Вера Александровна, преподаватель ГАПОУ СО «Нижнетагильский педагогический колледж № 2»,</t>
  </si>
  <si>
    <t>Использование цифровых инструментов при разработке методических материалов для сопровождения образовательного процесса в СПО</t>
  </si>
  <si>
    <t>Куреннова Ирина Викторовна, преподаватель ГАПОУ СО «Первоуральский политехникум»</t>
  </si>
  <si>
    <t>Методические рекомендации для выполнения курсовой работы по профессиональному модулю ПМ 06 «Организация работы структурного подразделения» по образовательной программе 19.02.10 Технология продукции общественного питания.</t>
  </si>
  <si>
    <t>Проект учебного занятия по общеобразовательной учебной дисциплине «Литература»</t>
  </si>
  <si>
    <t>Макарова Наталья Ивановна, преподаватель ГАПОУ СО «Каменск-Уральский радиотехнический техникум»</t>
  </si>
  <si>
    <t>Рабочая программа по ООД.05 История России с учетом новых стандартов</t>
  </si>
  <si>
    <t>Микрюкова Анастасия Юрьевна, преподаватель ГАПОУ СО «Нижнетагильский строительный колледж»</t>
  </si>
  <si>
    <t>В поисках эффективного преподавания иностранного языка с учетом профессиональной направленности программ среднего профессионального образования</t>
  </si>
  <si>
    <t>Перезолов Алексей Евгеньевич, преподаватель, ГАПОУ СО «Нижнетагильский педагогический колледж №2»</t>
  </si>
  <si>
    <t>Методические рекомендации для студентов по организации учебной практики вариативной части профессионального модуля «Организация и проведение внеурочной работы и занятий по программам дополнительного образования в области физической культуры» (Организация спортивного тренировочного процесса)</t>
  </si>
  <si>
    <t>Петрова Светлана Дмитриевна, преподаватель ГАПОУ СО «Нижнетагильский педагогический колледж №2»</t>
  </si>
  <si>
    <t>Рабочая программа учебной дисциплины ОП.08 «Фитнес-технологии»</t>
  </si>
  <si>
    <t>Пирогова Наталия Вячеславовна, преподаватель ГАПОУ СО «ТИПУ» Кулинар»</t>
  </si>
  <si>
    <t>Рабочая тетрадь по учебной дисциплине «Химия»</t>
  </si>
  <si>
    <t>Иностранный язык – инструмент изучения мировых достижений в профессии</t>
  </si>
  <si>
    <t>Превысокова Екатерина Сергеевна, преподаватель ГАПОУ СО «Нижнетагильский Педагогический колледж №2»</t>
  </si>
  <si>
    <t>Пятанова Наталья Николаевна, преподаватель ГАПОУ СО «Областной техникум дизайна и сервиса»</t>
  </si>
  <si>
    <t>Методические указания к выполнению экзаменационного практического задания по МДК 01.02. «Основы проектной и компьютерной графики»</t>
  </si>
  <si>
    <t>Сивилькаев Вадим Михайлович, преподаватель ГАПОУ СО ВПМТТ «Юность»</t>
  </si>
  <si>
    <t>Рабочая тетрадь по учебной дисциплине «Экономика организации»</t>
  </si>
  <si>
    <t>Тицкий Николай Андреевич, преподаватель ГАПОУ СО «Нижнетагильский педагогический колледж №2»</t>
  </si>
  <si>
    <t>Технологическая карта для специальности 44.02.04 Педагогика дополнительного образования (2 часа)</t>
  </si>
  <si>
    <t>Устюгова Нина Григорьевна, преподаватель ГАПОУ СО «Слободотуринский аграрно – экономический техникум»</t>
  </si>
  <si>
    <t>Методические рекомендации к практическим работам по учебной дисциплине «География»</t>
  </si>
  <si>
    <t>Чернова Оксана Алексеевна, преподаватель ГАПОУ СО «Нижнетагильский педагогический колледж № 2»</t>
  </si>
  <si>
    <t>Методические рекомендации для студентов по учебной практике по МДК 02.03 Практикум по художественной обработке материалов и изобразительному искусству по специальности 44.02.04 Специальное дошкольное образование</t>
  </si>
  <si>
    <t>Чумаков Алексей Валерьевич преподаватель ГАПОУ СО «Уральский железнодорожный техникум»</t>
  </si>
  <si>
    <t>Чумакова Тамара Николаевна, преподаватель Колледжа железнодорожного транспорта ФГБОУ ВО УрГУПС Федерального агентства железнодорожного транспорта</t>
  </si>
  <si>
    <t>Методические рекомендации для выполнения детали дипломного проекта на тему «Модернизация связи на участке железной дороги»</t>
  </si>
  <si>
    <t>Дидактические материалы для студентов в форме творческой мастерской в рамках изучения учебной дисциплины «Проектно-исследовательская деятельность»</t>
  </si>
  <si>
    <t>Шишкина Юлия Геннадьевна, преподаватель ГАПОУ СО «Ревдинский многопрофильный техникум»</t>
  </si>
  <si>
    <t>Учебно-методическое обеспечение освоения ОПОП – ППССЗ по специальности 13.02.11 «Техническая эксплуатация и обслуживание электрического и электромеханического оборудования (по отраслям)»</t>
  </si>
  <si>
    <t>Эксперт 1</t>
  </si>
  <si>
    <t>Эксперт 2</t>
  </si>
  <si>
    <t>Эксперт 3</t>
  </si>
  <si>
    <t>Средний балл</t>
  </si>
  <si>
    <t>Место</t>
  </si>
  <si>
    <t xml:space="preserve">Заживихина Мария Андреевна, преподаватель ГАПОУ СО «Уральский горнозаводской колледж имени Демидовых»; Бублий Светлана Николаевна, преподаватель ГАПОУ СО «Уральский горнозаводской колледж имени Демидовых»   </t>
  </si>
  <si>
    <t>Герлин Ольга Лейболтовна, преподаватель ГАПОУ СО «Нижнетагильский педагогический колледж №2»; Фоминцева Софья Анатольевна, преподаватель ГАПОУ СО «Нижнетагильский педагогический колледж №2»</t>
  </si>
  <si>
    <t>Рабочая программа учебной практики Основной профессиональной образовательной программы по специальности 38.02.03 «Операционная деятельность в логистике»</t>
  </si>
  <si>
    <t>Готфрид Алла-Наталия Николаевна, преподаватель ГАПОУ СО «Нижнетагильский педагогический колледж №2»</t>
  </si>
  <si>
    <t>Учебно-методический комплекс учебной дисциплины ОП. 05 «ТРУДОВОЕ ПРАВО» по специальности: 40.02.01 «Право и организация социального обеспечения»</t>
  </si>
  <si>
    <t>Кузнецова Алина Валентиновна, преподаватель высшей кв. кат. ГАПОУ СО «Первоуральский политехникум»</t>
  </si>
  <si>
    <t>Методическая разработка Проектная деятельность с учетом профессиональной направленности программ среднего профессионального образования</t>
  </si>
  <si>
    <t>Рабочая тетрадь по дисциплине ОД 02 Литература. Раздел «Художественный мир русской литературы XX века»</t>
  </si>
  <si>
    <t>Негулярная Елена Михайловна, преподаватель ГАПОУ СО «Сухоложский многопрофильный техникум»</t>
  </si>
  <si>
    <t>Формирование «soft skills» на занятиях Иностранного языка</t>
  </si>
  <si>
    <t>Пашкевич Наталья Александровна, преподаватель ГАПОУ СО «Нижнетагильский государственный профессиональный колледж имени Никиты Акинфиевича Демидова</t>
  </si>
  <si>
    <t>Поджидаев Антон Михайлович, преподаватель ГАПОУ СО «Сухоложский многопрофильный техникум»</t>
  </si>
  <si>
    <t>Проект учебного занятия по общеобразовательной дисциплине МАТЕМАТИКА для специальности: 38.02.03 Операционная деятельность в логистике</t>
  </si>
  <si>
    <t>Методическая разработка Конкурса профессионального мастерства на звание «Лучший по профессии» Специальность 15.02.07 Автоматизация технологических процессов и производств (по отраслям)</t>
  </si>
  <si>
    <t>Сидоренко Ольга Александровна, преподаватель ГАПОУ СО «Нижнетагильский педагогический колледж №2»</t>
  </si>
  <si>
    <t>Методическое пособие по выполнению лабораторных работ по предмету:«МДК 03.01 Эксплуатация объектов сетевой инфраструктуры»</t>
  </si>
  <si>
    <t>Шилова Дина Максутовна, преподаватель ГАПОУ СО «Уральский колледж технологий и предпринимательства»</t>
  </si>
  <si>
    <r>
      <t>Лебедева Елена Евгеньевна, преподаватель ГАПОУ СО «</t>
    </r>
    <r>
      <rPr>
        <sz val="12"/>
        <color rgb="FF000000"/>
        <rFont val="Times New Roman"/>
        <family val="1"/>
        <charset val="204"/>
      </rPr>
      <t>Нижнетагильский педагогический колледж №2»</t>
    </r>
  </si>
  <si>
    <r>
      <t xml:space="preserve">Технологическая карта </t>
    </r>
    <r>
      <rPr>
        <sz val="12"/>
        <color rgb="FF00000A"/>
        <rFont val="Times New Roman"/>
        <family val="1"/>
        <charset val="204"/>
      </rPr>
      <t>основной профессиональной образовательной программы по специальности 38.02.03 «Операционная деятельность в логистике»</t>
    </r>
  </si>
  <si>
    <t>Антропова Ольга Александровна, преподаватель ГАПОУ СО «Екатеринбургский политехникум»; Чернов Валерий Александрович, преподаватель ГАПОУ СО «Екатеринбургский политехникум»</t>
  </si>
  <si>
    <t>Гаврилин Леонид Александрович, преподаватель ГАПОУ СО «Верхнесалдинский авиаметаллургический колледж им. А. Евстигнеева»</t>
  </si>
  <si>
    <t>Гущина Маргарита Михайловна, преподаватель ГАПОУ СО «Екатеринбургский политехникум»; Попова Татьяна Витальевна, преподаватель ГАПОУ СО «Екатеринбургский политехникум»</t>
  </si>
  <si>
    <t>Дементьева Елена Сергеевна, преподаватель ГАПОУ СО «Камышловский техникум промышленности и транспорта»</t>
  </si>
  <si>
    <t>Дементьева Ирина Николаевна, преподаватель ГАПОУ СО «Екатеринбургский политехникум»; Лескин Алексей Александрович, преподаватель ГАПОУ СО «Екатеринбургский политехникум»</t>
  </si>
  <si>
    <t>Дыкман Иван Михайлович, преподаватель ГАПОУ СО «Областной техникум дизайна и сервиса»</t>
  </si>
  <si>
    <t>Еловских Татьяна Игоревна, преподаватель ГАПОУ СО Первоуральский металлургический колледж»</t>
  </si>
  <si>
    <t>Емельянова Анна Евгеньевна, мастер производственного обучения ГАПОУ СО «Асбестовский политехникум»</t>
  </si>
  <si>
    <t>Ерохова Ксения Нельсоновна, преподаватель ГАПОУ СО «Высокогорский многопрофильный техникум»; Якутов Роман Андреевич, преподаватель ГАПОУ СО «Высокогорский многопрофильный техникум»</t>
  </si>
  <si>
    <t>Закайдакова Алена Сергеевна, преподаватель ГАПОУ СО «Алапаевский многопрофильный техникум»</t>
  </si>
  <si>
    <t>Зуева Оксана Александровна, преподаватель ГАПОУ СО «Екатеринбургский политехникум»</t>
  </si>
  <si>
    <t>Кирбитова Лариса Григорьевна, преподаватель ГАПОУ СО «Первоуральский металлургический колледж»</t>
  </si>
  <si>
    <t>Кобзева Татьяна Евгеньевна, преподаватель ГАПОУ СО «Нижнетагильский техникум металлообрабатывающих производств и сервиса»; Сидорова Екатерина Владимировна, преподаватель ГАПОУ СО «Нижнетагильский техникум металлообрабатывающих производств и сервиса»</t>
  </si>
  <si>
    <t>Козионова Наталья Алексеевна, преподаватель ГАПОУ СО «Красноуфимский многопрофильный техникум»</t>
  </si>
  <si>
    <t>Костарева Наталья Викторовна, преподаватель ГАПОУ СО «Верхнепышминский механико-технологический техникум «Юность»; Черепанова Татьяна Михайловна, преподаватель ГАПОУ СО «Верхнепышминский механико-технологический техникум «Юность»</t>
  </si>
  <si>
    <t>Лихачева Екатерина Андреевна, преподаватель ГАПОУ СО «Камышловский техникум промышленности и транспорта»</t>
  </si>
  <si>
    <t>Лосева Людмила Николаевна, преподаватель ГАПОУ СО «Екатеринбургский политехникум»</t>
  </si>
  <si>
    <t>Мамчиц Светлана Федоровна, преподаватель ГАПОУ СО «Екатеринбургский политехникум»; Попова Татьяна Витальевна, преподаватель ГАПОУ СО «Екатеринбургский политехникум»</t>
  </si>
  <si>
    <t>Медведев Виктор Кузьмич, преподаватель ГАПОУ «ВСАМК им. А.А. Евстигнеева»</t>
  </si>
  <si>
    <t>Медведева Людмила Дмитриевна, преподаватель ГАПОУ СО «Екатеринбургский политехникум»</t>
  </si>
  <si>
    <t>Можейко Ольга Александровна методист УО «Солигорский государственный колледж»</t>
  </si>
  <si>
    <t>Несытых Алена Андреевна, мастер производственного обучения, ГАПОУ СО «Камышловский техникум промышленности и транспорта»</t>
  </si>
  <si>
    <t>Парисенкова Татьяна Алексеевна, преподаватель ГАПОУ СО «Первоуральский политехникум» городской округ Первоуральск</t>
  </si>
  <si>
    <t>Полянский Николай Геннадьевич, преподаватель ГАПОУ СО «Баранчинский электромеханический техникум»; Новокрещенова Ирина Анатольевна, методист ГАПОУ СО «Баранчинский электромеханический техникум»</t>
  </si>
  <si>
    <t>Попова Татьяна Вильевна, преподаватель ГАПОУ СО «Верхнепышминский механико-технологический техникум «Юность»</t>
  </si>
  <si>
    <t>Рыбинских Константин Александрович, преподаватель ГАПОУ СО «Областной техникум дизайна и сервиса»</t>
  </si>
  <si>
    <t>Салтанова Любовь Александровна, мастер производственного обучения ГАПОУ СО «Камышловский техникум промышленности и транспорта»</t>
  </si>
  <si>
    <t>Светлакова Марина Алексеевна, преподаватель ГАПОУ СО «Первоуральский металлургический колледж»</t>
  </si>
  <si>
    <t>Усачева Надежда Александровна, преподаватель ГАПОУ СО «Первоуральский металлургический колледж»</t>
  </si>
  <si>
    <t>Цимфер Татьяна Ивановна, преподаватель ГАПОУ СО ВП МТТ «Юность»</t>
  </si>
  <si>
    <t>Черепанова Татьяна Михайловна, методист ГАПОУ СО «Верхнепышминский механико-технологический техникум «Юность»</t>
  </si>
  <si>
    <t>Шмелева Елена Владимировна, преподаватель ГАПОУ СО «Екатеринбургский политехникум»</t>
  </si>
  <si>
    <t>Ярочкина Екатерина Дмитриевна, преподаватель ГАПОУ СО «УГК им. И.И. Ползунова»</t>
  </si>
  <si>
    <t>Технологическая карта интегрированного урока по дисциплинам «История», «Информатика» специальности 15.02.12 Монтаж, техническое обслуживание и ремонт промышленного оборудования (по отраслям)</t>
  </si>
  <si>
    <t>Использование цифровых сервисов и геймификация на уроках информатики для выстраивания межпредметных связей</t>
  </si>
  <si>
    <t>Технологическая карта бинарного урока по дисциплинам «Иностранный язык» и «Материаловедение»</t>
  </si>
  <si>
    <t>Использование ИКТ на уроках спецдисциплин</t>
  </si>
  <si>
    <t>ПОЛОЖЕНИЕ о проведении конкурса профессионального мастерства в сфере металлообработки «Своя игра»</t>
  </si>
  <si>
    <t>Учебно-методические формы организации учебного процесса с использованием информационных технологий</t>
  </si>
  <si>
    <t>Организации практической подготовки студентов на занятиях учебной практики</t>
  </si>
  <si>
    <t>Опыт участия в проведении демонстрационного экзамена по компетенции «Спасательные работы»</t>
  </si>
  <si>
    <t>Цифровые образовательные ресурсы</t>
  </si>
  <si>
    <t>Тема: «Демонстрационный экзамен как инструмент оценки качества подготовки кадров (08.02.01 Строительство и эксплуатация зданий и сооружений)</t>
  </si>
  <si>
    <t>Технологическая карта интегрированного урока: русского языка и химии по теме «Научный стиль»</t>
  </si>
  <si>
    <t>Профессионалитет – современная концепция СПО</t>
  </si>
  <si>
    <t>Концепция устойчивого развития. Экологический след Методическая разработка интегрированного занятия</t>
  </si>
  <si>
    <t>Применение рабочих листов для организации учебной деятельности на базе онлайн-платформы CoreApp</t>
  </si>
  <si>
    <t>Использование информационно-коммуникативных технологий в учебном процессе техникума</t>
  </si>
  <si>
    <t>Практика применения онлайн-викторин на уроках родного языка в СПО</t>
  </si>
  <si>
    <t>Технологическая карта бинарного урока по дисциплине «Основы безопасности жизнедеятельности» и МДК.04.01 «Основы аналитической химии и физико-химических методов анализа»</t>
  </si>
  <si>
    <t>Технологическая карта бинарного урока по дисциплинам «Астрономия» и «Материаловедение»</t>
  </si>
  <si>
    <t>Социальное партнерство и ранняя профориентация школьников в «Верхнесалдинским авиаметаллургическим колледжем им. А.А. Евстигнеева»</t>
  </si>
  <si>
    <t>Методическая разработка учебного занятия по дисциплине «Литература» для обучающихся 1 курса по теме Сравнительный анализ стихотворений «Пророк» А.С. Пушкина и «Пророк» М.Ю. Лермонтова</t>
  </si>
  <si>
    <t>Опыт применения образовательных блогов в организации учебной деятельности учащихся по учебным предметам профессионального компонента</t>
  </si>
  <si>
    <t>Пространство образовательных технологий: опыт участия в инновационных программах и проектах</t>
  </si>
  <si>
    <t>Методическая разработка Занятия французского языка по теме «Заочное путешествие по Франции и Парижу»</t>
  </si>
  <si>
    <t>Профессиональная проба «Электромонтёр» (методическая разработка)</t>
  </si>
  <si>
    <t>Лекция на урок по ВМДК 06.01 «Технология производства цветных металлов и сплавов (по типам производства) специальности 22.02.02 Металлургия цветных металлов</t>
  </si>
  <si>
    <t>Методические рекомендации по использованию метода кейсов для повышения профессиональной мотивации у студентов</t>
  </si>
  <si>
    <t>Аннотация на разработку открытого занятия по МДК 02.01. «Фирменный стиль и корпоративный дизайн»</t>
  </si>
  <si>
    <t>Методические указания по выполнению практической работы «Конституция, как основной закон государства»</t>
  </si>
  <si>
    <t>Практический опыт реализации дисциплины «Компьютерная графика» с применением персонализированного обучения</t>
  </si>
  <si>
    <t>Аннотация к рабочей программе учебной дисциплины «ОНИД»</t>
  </si>
  <si>
    <t>Инновационный проект как новые возможности участников образовательного сообщества</t>
  </si>
  <si>
    <t>Технологическая карта к бинарному уроку по теме «Процентные вычисления» учебной дисциплины «Математика»</t>
  </si>
  <si>
    <t>«Разработка игры с целью знакомства с промышленным предприятием и рабочими профессиями при помощи мультимедийных средств и геймификации: «Приключения металлурга в АО «Уралэлектромедь» – путешествие по цехам предприятия»</t>
  </si>
  <si>
    <t>Брюханова Ольга Маратовна, преподаватель ГАПОУ СО «Екатеринбургский техникум химического машиностроения»</t>
  </si>
  <si>
    <t>Кадникова Елена Владимировна, преподаватель ГАПОУ СО «НТГПК им. Н.А. Демидова»</t>
  </si>
  <si>
    <t>Мыслинская Александра Брониславовна, преподаватель ГАПОУ СО «Белоярский многопрофильный техникум»</t>
  </si>
  <si>
    <t>Попова Мария Леонидовна, преподаватель ГАПОУ СО ССЭТ «Родник»</t>
  </si>
  <si>
    <t>Ушакова Ольга Александровна, преподаватель ГАПОУ «Ревдинский многопрофильный техникум»</t>
  </si>
  <si>
    <t>Царегородцева Анна Александровна, преподаватель ГАПОУ СО «Нижнетагильский педагогический колледж №2»</t>
  </si>
  <si>
    <t>Шаркова Елена Валерьевна, преподаватель, ГАПОУ СО «Камышловский педагогический колледж»</t>
  </si>
  <si>
    <t>Технологическая карта внеурочного мероприятия «Студенты против коррупции»</t>
  </si>
  <si>
    <t>Методическая разработка внеурочного мероприятия «Культура общения»</t>
  </si>
  <si>
    <t>Сценарий внеурочного мероприятия «ХОЛОКОСТ – полтора часа возмездия»</t>
  </si>
  <si>
    <t>Полигон изобретательских идей (мастер-класс для детей инвалидов и ОВЗ)</t>
  </si>
  <si>
    <t>Духовно-нравственное и гражданско-патриотическое воспитание молодежи: становление мировоззрения и ценностных ориентаций обучающихся ревдинского многопрофильного техникума</t>
  </si>
  <si>
    <t>Дополнительная общеобразовательная общеразвивающая программа социально-педагогической направленности «Творческое объединение волонтеров»</t>
  </si>
  <si>
    <t>Реверсивное наставничество как образовательный тренд современности</t>
  </si>
  <si>
    <t>Коляко Анастасия Владимировна, преподаватель ГАПОУ СО «Нижнетагильский педагогический колледж №2»</t>
  </si>
  <si>
    <t>I</t>
  </si>
  <si>
    <t>II</t>
  </si>
  <si>
    <t>III</t>
  </si>
  <si>
    <t xml:space="preserve">I </t>
  </si>
  <si>
    <t xml:space="preserve">II </t>
  </si>
  <si>
    <t xml:space="preserve">III </t>
  </si>
  <si>
    <t>I Место</t>
  </si>
  <si>
    <t>II Место</t>
  </si>
  <si>
    <t>III Место</t>
  </si>
  <si>
    <t>Место, ФИО</t>
  </si>
  <si>
    <t>Среднее по полю Итого</t>
  </si>
  <si>
    <t>Место, Фио</t>
  </si>
  <si>
    <t>Секция 1: "Эффективные практики методического сопровождения профессионального образования"</t>
  </si>
  <si>
    <t>Секция 2: "Пространство образовательных технологий: опыт участия в инновационных программах и проектах"</t>
  </si>
  <si>
    <t>Секция 3: "Сотрудничество и социальное обучение в профессиональном образовании"</t>
  </si>
  <si>
    <t>Место, фИО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</si>
</sst>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A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006100"/>
      <name val="Times New Roman"/>
      <family val="1"/>
      <charset val="204"/>
    </font>
    <font>
      <b/>
      <sz val="14"/>
      <color rgb="FF3F3F3F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5" fillId="0" borderId="0" xfId="0" applyNumberFormat="1" applyFont="1"/>
    <xf numFmtId="164" fontId="6" fillId="0" borderId="1" xfId="0" applyNumberFormat="1" applyFont="1" applyBorder="1"/>
    <xf numFmtId="164" fontId="5" fillId="0" borderId="0" xfId="0" applyNumberFormat="1" applyFont="1" applyBorder="1"/>
    <xf numFmtId="164" fontId="6" fillId="0" borderId="0" xfId="0" applyNumberFormat="1" applyFo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164" fontId="6" fillId="2" borderId="1" xfId="0" applyNumberFormat="1" applyFont="1" applyFill="1" applyBorder="1"/>
    <xf numFmtId="0" fontId="2" fillId="0" borderId="1" xfId="0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11" fillId="3" borderId="3" xfId="0" applyFont="1" applyFill="1" applyBorder="1" applyAlignment="1">
      <alignment horizontal="center"/>
    </xf>
    <xf numFmtId="0" fontId="12" fillId="4" borderId="3" xfId="0" applyNumberFormat="1" applyFont="1" applyFill="1" applyBorder="1" applyAlignment="1" applyProtection="1"/>
    <xf numFmtId="0" fontId="12" fillId="4" borderId="6" xfId="0" applyNumberFormat="1" applyFont="1" applyFill="1" applyBorder="1" applyAlignment="1" applyProtection="1"/>
    <xf numFmtId="0" fontId="13" fillId="0" borderId="7" xfId="0" applyFont="1" applyBorder="1" applyAlignment="1">
      <alignment horizontal="left" indent="1"/>
    </xf>
    <xf numFmtId="0" fontId="13" fillId="0" borderId="8" xfId="0" applyFont="1" applyBorder="1" applyAlignment="1">
      <alignment horizontal="left" indent="2"/>
    </xf>
    <xf numFmtId="164" fontId="14" fillId="0" borderId="5" xfId="0" applyNumberFormat="1" applyFont="1" applyBorder="1"/>
    <xf numFmtId="164" fontId="14" fillId="0" borderId="4" xfId="0" applyNumberFormat="1" applyFont="1" applyBorder="1"/>
    <xf numFmtId="0" fontId="13" fillId="0" borderId="7" xfId="0" applyFont="1" applyBorder="1" applyAlignment="1">
      <alignment horizontal="left" indent="2"/>
    </xf>
    <xf numFmtId="0" fontId="12" fillId="4" borderId="6" xfId="0" applyFont="1" applyFill="1" applyBorder="1" applyAlignment="1">
      <alignment horizontal="left"/>
    </xf>
    <xf numFmtId="164" fontId="12" fillId="4" borderId="3" xfId="0" applyNumberFormat="1" applyFont="1" applyFill="1" applyBorder="1"/>
    <xf numFmtId="164" fontId="8" fillId="5" borderId="5" xfId="0" applyNumberFormat="1" applyFont="1" applyFill="1" applyBorder="1"/>
    <xf numFmtId="164" fontId="8" fillId="0" borderId="4" xfId="0" applyNumberFormat="1" applyFont="1" applyFill="1" applyBorder="1"/>
    <xf numFmtId="0" fontId="12" fillId="5" borderId="7" xfId="0" applyFont="1" applyFill="1" applyBorder="1" applyAlignment="1">
      <alignment horizontal="left" indent="1"/>
    </xf>
    <xf numFmtId="164" fontId="8" fillId="0" borderId="5" xfId="0" applyNumberFormat="1" applyFont="1" applyFill="1" applyBorder="1"/>
    <xf numFmtId="164" fontId="10" fillId="0" borderId="5" xfId="0" applyNumberFormat="1" applyFont="1" applyBorder="1"/>
    <xf numFmtId="164" fontId="10" fillId="0" borderId="4" xfId="0" applyNumberFormat="1" applyFont="1" applyBorder="1"/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164"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font>
        <color theme="0"/>
      </font>
    </dxf>
    <dxf>
      <font>
        <color theme="0"/>
      </font>
    </dxf>
    <dxf>
      <font>
        <b/>
        <sz val="14"/>
        <color rgb="FF3F3F3F"/>
        <name val="Times New Roman"/>
        <scheme val="none"/>
      </font>
      <fill>
        <patternFill patternType="solid">
          <bgColor indexed="65"/>
        </patternFill>
      </fill>
    </dxf>
    <dxf>
      <font>
        <color theme="0"/>
      </font>
    </dxf>
    <dxf>
      <font>
        <color theme="0"/>
      </font>
    </dxf>
    <dxf>
      <font>
        <b/>
        <sz val="14"/>
        <color rgb="FF3F3F3F"/>
        <name val="Times New Roman"/>
        <scheme val="none"/>
      </font>
      <fill>
        <patternFill patternType="solid">
          <bgColor indexed="65"/>
        </patternFill>
      </fill>
    </dxf>
    <dxf>
      <font>
        <color theme="0"/>
      </font>
    </dxf>
    <dxf>
      <font>
        <color theme="0"/>
      </font>
    </dxf>
    <dxf>
      <font>
        <b/>
        <sz val="14"/>
        <color rgb="FF3F3F3F"/>
        <name val="Times New Roman"/>
        <scheme val="none"/>
      </font>
      <fill>
        <patternFill patternType="solid"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ont>
        <sz val="14"/>
        <name val="Times New Roman"/>
        <scheme val="none"/>
      </font>
    </dxf>
    <dxf>
      <font>
        <sz val="14"/>
        <name val="Times New Roman"/>
        <scheme val="none"/>
      </font>
    </dxf>
    <dxf>
      <font>
        <sz val="14"/>
        <name val="Times New Roman"/>
        <scheme val="none"/>
      </font>
    </dxf>
    <dxf>
      <font>
        <b/>
        <sz val="14"/>
        <color rgb="FF3F3F3F"/>
        <name val="Times New Roman"/>
        <scheme val="none"/>
      </font>
      <fill>
        <patternFill patternType="solid">
          <fgColor indexed="64"/>
          <bgColor indexed="65"/>
        </patternFill>
      </fill>
    </dxf>
    <dxf>
      <font>
        <b/>
        <sz val="14"/>
        <color rgb="FF3F3F3F"/>
        <name val="Times New Roman"/>
        <scheme val="none"/>
      </font>
      <fill>
        <patternFill patternType="solid">
          <fgColor indexed="64"/>
          <bgColor indexed="65"/>
        </patternFill>
      </fill>
    </dxf>
    <dxf>
      <font>
        <b/>
        <sz val="14"/>
        <color rgb="FF3F3F3F"/>
        <name val="Times New Roman"/>
        <scheme val="none"/>
      </font>
      <fill>
        <patternFill patternType="solid">
          <fgColor indexed="64"/>
          <bgColor indexed="65"/>
        </patternFill>
      </fill>
    </dxf>
    <dxf>
      <font>
        <b/>
        <sz val="14"/>
        <color rgb="FF3F3F3F"/>
        <name val="Times New Roman"/>
        <scheme val="none"/>
      </font>
      <fill>
        <patternFill patternType="solid">
          <bgColor indexed="65"/>
        </patternFill>
      </fill>
    </dxf>
    <dxf>
      <font>
        <b/>
        <sz val="14"/>
        <color rgb="FF3F3F3F"/>
        <name val="Times New Roman"/>
        <scheme val="none"/>
      </font>
      <fill>
        <patternFill patternType="solid">
          <bgColor indexed="65"/>
        </patternFill>
      </fill>
    </dxf>
    <dxf>
      <font>
        <b/>
        <sz val="14"/>
        <color rgb="FF3F3F3F"/>
        <name val="Times New Roman"/>
        <scheme val="none"/>
      </font>
      <fill>
        <patternFill patternType="solid">
          <bgColor indexed="65"/>
        </patternFill>
      </fill>
    </dxf>
    <dxf>
      <font>
        <sz val="14"/>
        <color rgb="FF006100"/>
        <name val="Times New Roman"/>
        <scheme val="none"/>
      </font>
      <fill>
        <patternFill patternType="solid">
          <bgColor indexed="65"/>
        </patternFill>
      </fill>
      <alignment horizontal="center" readingOrder="0"/>
    </dxf>
    <dxf>
      <font>
        <sz val="14"/>
        <color rgb="FF006100"/>
        <name val="Times New Roman"/>
        <scheme val="none"/>
      </font>
      <fill>
        <patternFill patternType="solid">
          <bgColor indexed="65"/>
        </patternFill>
      </fill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ont>
        <sz val="14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color theme="0"/>
      </font>
      <numFmt numFmtId="164" formatCode="0.0"/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indent="2" readingOrder="0"/>
    </dxf>
    <dxf>
      <fill>
        <patternFill patternType="none">
          <fgColor indexed="64"/>
          <bgColor indexed="65"/>
        </patternFill>
      </fill>
      <alignment indent="2" readingOrder="0"/>
    </dxf>
    <dxf>
      <alignment indent="1" readingOrder="0"/>
    </dxf>
    <dxf>
      <alignment indent="1" readingOrder="0"/>
    </dxf>
    <dxf>
      <font>
        <b/>
        <color rgb="FF3F3F3F"/>
      </font>
      <fill>
        <patternFill patternType="solid">
          <bgColor indexed="65"/>
        </patternFill>
      </fill>
    </dxf>
    <dxf>
      <font>
        <b/>
        <color rgb="FF3F3F3F"/>
      </font>
      <fill>
        <patternFill patternType="solid">
          <bgColor indexed="65"/>
        </patternFill>
      </fill>
    </dxf>
    <dxf>
      <fill>
        <patternFill patternType="none">
          <fgColor indexed="64"/>
          <bgColor indexed="65"/>
        </patternFill>
      </fill>
      <alignment indent="2" readingOrder="0"/>
    </dxf>
    <dxf>
      <font>
        <b/>
        <color rgb="FF3F3F3F"/>
      </font>
      <fill>
        <patternFill patternType="solid">
          <bgColor indexed="65"/>
        </patternFill>
      </fill>
    </dxf>
    <dxf>
      <font>
        <color rgb="FF006100"/>
      </font>
      <fill>
        <patternFill>
          <bgColor indexed="65"/>
        </patternFill>
      </fill>
      <alignment horizontal="center" readingOrder="0"/>
    </dxf>
    <dxf>
      <font>
        <color rgb="FF006100"/>
      </font>
      <fill>
        <patternFill>
          <bgColor indexed="65"/>
        </patternFill>
      </fill>
      <alignment horizontal="center" readingOrder="0"/>
    </dxf>
    <dxf>
      <font>
        <b/>
        <sz val="14"/>
        <color rgb="FF3F3F3F"/>
        <name val="Times New Roman"/>
        <scheme val="none"/>
      </font>
      <fill>
        <patternFill patternType="solid">
          <bgColor indexed="65"/>
        </patternFill>
      </fill>
    </dxf>
    <dxf>
      <font>
        <b/>
        <sz val="14"/>
        <color rgb="FF3F3F3F"/>
        <name val="Times New Roman"/>
        <scheme val="none"/>
      </font>
      <fill>
        <patternFill patternType="solid">
          <bgColor indexed="65"/>
        </patternFill>
      </fill>
    </dxf>
    <dxf>
      <font>
        <b/>
        <sz val="14"/>
        <color rgb="FF3F3F3F"/>
        <name val="Times New Roman"/>
        <scheme val="none"/>
      </font>
      <fill>
        <patternFill patternType="solid">
          <bgColor indexed="65"/>
        </patternFill>
      </fill>
    </dxf>
    <dxf>
      <font>
        <b/>
        <sz val="14"/>
        <color rgb="FF3F3F3F"/>
        <name val="Times New Roman"/>
        <scheme val="none"/>
      </font>
      <fill>
        <patternFill patternType="solid">
          <bgColor indexed="65"/>
        </patternFill>
      </fill>
    </dxf>
    <dxf>
      <font>
        <b/>
        <sz val="14"/>
        <color rgb="FF3F3F3F"/>
        <name val="Times New Roman"/>
        <scheme val="none"/>
      </font>
      <fill>
        <patternFill patternType="solid">
          <bgColor indexed="65"/>
        </patternFill>
      </fill>
    </dxf>
    <dxf>
      <font>
        <b/>
        <sz val="14"/>
        <color rgb="FF3F3F3F"/>
        <name val="Times New Roman"/>
        <scheme val="none"/>
      </font>
      <fill>
        <patternFill patternType="solid">
          <bgColor indexed="65"/>
        </patternFill>
      </fill>
    </dxf>
    <dxf>
      <font>
        <b/>
        <sz val="14"/>
        <color rgb="FF3F3F3F"/>
        <name val="Times New Roman"/>
        <scheme val="none"/>
      </font>
      <fill>
        <patternFill patternType="solid">
          <bgColor indexed="65"/>
        </patternFill>
      </fill>
    </dxf>
    <dxf>
      <numFmt numFmtId="164" formatCode="0.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alignment horizontal="center" readingOrder="0"/>
    </dxf>
    <dxf>
      <alignment horizontal="center" readingOrder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z val="14"/>
      </font>
    </dxf>
    <dxf>
      <font>
        <sz val="14"/>
      </font>
    </dxf>
    <dxf>
      <font>
        <name val="Times New Roman"/>
        <scheme val="none"/>
      </font>
    </dxf>
    <dxf>
      <font>
        <name val="Times New Roman"/>
        <scheme val="none"/>
      </font>
    </dxf>
    <dxf>
      <font>
        <b/>
      </font>
    </dxf>
    <dxf>
      <font>
        <b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1055;&#1088;&#1086;&#1090;&#1086;&#1082;&#1086;&#1083;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1055;&#1088;&#1086;&#1090;&#1086;&#1082;&#1086;&#1083;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1055;&#1088;&#1086;&#1090;&#1086;&#1082;&#1086;&#1083;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4971.551719675925" createdVersion="5" refreshedVersion="5" minRefreshableVersion="3" recordCount="3">
  <cacheSource type="worksheet">
    <worksheetSource ref="C3:I6" sheet="Секция 1" r:id="rId2"/>
  </cacheSource>
  <cacheFields count="7">
    <cacheField name="ФИО, должность, ОУ" numFmtId="0">
      <sharedItems count="3">
        <s v="Куликова Вера Александровна, преподаватель ГАПОУ СО «Нижнетагильский педагогический колледж № 2»,"/>
        <s v="Кузнецова Алина Валентиновна, преподаватель высшей кв. кат. ГАПОУ СО «Первоуральский политехникум»"/>
        <s v="Батырев Дмитрий Сергеевич, преподаватель ГАПОУ СО «Баранчинский электромеханический техникум»"/>
      </sharedItems>
    </cacheField>
    <cacheField name="Название работы" numFmtId="0">
      <sharedItems count="3">
        <s v="Использование цифровых инструментов при разработке методических материалов для сопровождения образовательного процесса в СПО"/>
        <s v="Методическая разработка Проектная деятельность с учетом профессиональной направленности программ среднего профессионального образования"/>
        <s v="Методические рекомендации по применению средств электронного обучения при подготовке специалистов в области информационных технологий"/>
      </sharedItems>
    </cacheField>
    <cacheField name="Эксперт 1" numFmtId="0">
      <sharedItems containsSemiMixedTypes="0" containsString="0" containsNumber="1" containsInteger="1" minValue="11" maxValue="13"/>
    </cacheField>
    <cacheField name="Эксперт 2" numFmtId="0">
      <sharedItems containsSemiMixedTypes="0" containsString="0" containsNumber="1" containsInteger="1" minValue="13" maxValue="15"/>
    </cacheField>
    <cacheField name="Эксперт 3" numFmtId="0">
      <sharedItems containsSemiMixedTypes="0" containsString="0" containsNumber="1" containsInteger="1" minValue="13" maxValue="14"/>
    </cacheField>
    <cacheField name="Средний балл" numFmtId="164">
      <sharedItems containsSemiMixedTypes="0" containsString="0" containsNumber="1" minValue="13" maxValue="14" count="3">
        <n v="14"/>
        <n v="13.333333333333334"/>
        <n v="13"/>
      </sharedItems>
    </cacheField>
    <cacheField name="Место" numFmtId="0">
      <sharedItems count="3">
        <s v="I"/>
        <s v="II"/>
        <s v="II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Автор" refreshedDate="44971.567354282408" createdVersion="5" refreshedVersion="5" minRefreshableVersion="3" recordCount="3">
  <cacheSource type="worksheet">
    <worksheetSource ref="C3:I6" sheet="Секция 2" r:id="rId2"/>
  </cacheSource>
  <cacheFields count="7">
    <cacheField name="ФИО, должность, ОУ" numFmtId="0">
      <sharedItems count="3">
        <s v="Ярочкина Екатерина Дмитриевна, преподаватель ГАПОУ СО «УГК им. И.И. Ползунова»"/>
        <s v="Дементьева Ирина Николаевна, преподаватель ГАПОУ СО «Екатеринбургский политехникум»; Лескин Алексей Александрович, преподаватель ГАПОУ СО «Екатеринбургский политехникум»"/>
        <s v="Дыкман Иван Михайлович, преподаватель ГАПОУ СО «Областной техникум дизайна и сервиса»"/>
      </sharedItems>
    </cacheField>
    <cacheField name="Название работы" numFmtId="0">
      <sharedItems count="3">
        <s v="«Разработка игры с целью знакомства с промышленным предприятием и рабочими профессиями при помощи мультимедийных средств и геймификации: «Приключения металлурга в АО «Уралэлектромедь» – путешествие по цехам предприятия»"/>
        <s v="ПОЛОЖЕНИЕ о проведении конкурса профессионального мастерства в сфере металлообработки «Своя игра»"/>
        <s v="Учебно-методические формы организации учебного процесса с использованием информационных технологий"/>
      </sharedItems>
    </cacheField>
    <cacheField name="Эксперт 1" numFmtId="0">
      <sharedItems containsSemiMixedTypes="0" containsString="0" containsNumber="1" containsInteger="1" minValue="14" maxValue="17"/>
    </cacheField>
    <cacheField name="Эксперт 2" numFmtId="0">
      <sharedItems containsSemiMixedTypes="0" containsString="0" containsNumber="1" containsInteger="1" minValue="14" maxValue="17"/>
    </cacheField>
    <cacheField name="Эксперт 3" numFmtId="0">
      <sharedItems containsSemiMixedTypes="0" containsString="0" containsNumber="1" containsInteger="1" minValue="15" maxValue="17"/>
    </cacheField>
    <cacheField name="Средний балл" numFmtId="164">
      <sharedItems containsSemiMixedTypes="0" containsString="0" containsNumber="1" minValue="14.333333333333334" maxValue="16.333333333333332"/>
    </cacheField>
    <cacheField name="Место" numFmtId="0">
      <sharedItems count="3">
        <s v="I "/>
        <s v="II "/>
        <s v="III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Автор" refreshedDate="44971.57316550926" createdVersion="5" refreshedVersion="5" minRefreshableVersion="3" recordCount="3">
  <cacheSource type="worksheet">
    <worksheetSource ref="C3:I6" sheet="Секция 3" r:id="rId2"/>
  </cacheSource>
  <cacheFields count="7">
    <cacheField name="ФИО, должность, ОУ" numFmtId="0">
      <sharedItems count="3">
        <s v="Мыслинская Александра Брониславовна, преподаватель ГАПОУ СО «Белоярский многопрофильный техникум»"/>
        <s v="Царегородцева Анна Александровна, преподаватель ГАПОУ СО «Нижнетагильский педагогический колледж №2»"/>
        <s v="Шаркова Елена Валерьевна, преподаватель, ГАПОУ СО «Камышловский педагогический колледж»"/>
      </sharedItems>
    </cacheField>
    <cacheField name="Название работы" numFmtId="0">
      <sharedItems count="3">
        <s v="Сценарий внеурочного мероприятия «ХОЛОКОСТ – полтора часа возмездия»"/>
        <s v="Дополнительная общеобразовательная общеразвивающая программа социально-педагогической направленности «Творческое объединение волонтеров»"/>
        <s v="Реверсивное наставничество как образовательный тренд современности"/>
      </sharedItems>
    </cacheField>
    <cacheField name="Эксперт 1" numFmtId="0">
      <sharedItems containsSemiMixedTypes="0" containsString="0" containsNumber="1" containsInteger="1" minValue="13" maxValue="14"/>
    </cacheField>
    <cacheField name="Эксперт 2" numFmtId="0">
      <sharedItems containsSemiMixedTypes="0" containsString="0" containsNumber="1" containsInteger="1" minValue="12" maxValue="14"/>
    </cacheField>
    <cacheField name="Эксперт 3" numFmtId="0">
      <sharedItems containsSemiMixedTypes="0" containsString="0" containsNumber="1" containsInteger="1" minValue="12" maxValue="13"/>
    </cacheField>
    <cacheField name="Средний балл" numFmtId="164">
      <sharedItems containsSemiMixedTypes="0" containsString="0" containsNumber="1" minValue="12.666666666666666" maxValue="13.333333333333334"/>
    </cacheField>
    <cacheField name="Место" numFmtId="0">
      <sharedItems count="3">
        <s v="I"/>
        <s v="II"/>
        <s v="II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x v="0"/>
    <x v="0"/>
    <n v="13"/>
    <n v="15"/>
    <n v="14"/>
    <x v="0"/>
    <x v="0"/>
  </r>
  <r>
    <x v="1"/>
    <x v="1"/>
    <n v="11"/>
    <n v="15"/>
    <n v="14"/>
    <x v="1"/>
    <x v="1"/>
  </r>
  <r>
    <x v="2"/>
    <x v="2"/>
    <n v="13"/>
    <n v="13"/>
    <n v="13"/>
    <x v="2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">
  <r>
    <x v="0"/>
    <x v="0"/>
    <n v="17"/>
    <n v="15"/>
    <n v="17"/>
    <n v="16.333333333333332"/>
    <x v="0"/>
  </r>
  <r>
    <x v="1"/>
    <x v="1"/>
    <n v="16"/>
    <n v="17"/>
    <n v="15"/>
    <n v="16"/>
    <x v="1"/>
  </r>
  <r>
    <x v="2"/>
    <x v="2"/>
    <n v="14"/>
    <n v="14"/>
    <n v="15"/>
    <n v="14.333333333333334"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">
  <r>
    <x v="0"/>
    <x v="0"/>
    <n v="13"/>
    <n v="14"/>
    <n v="13"/>
    <n v="13.333333333333334"/>
    <x v="0"/>
  </r>
  <r>
    <x v="1"/>
    <x v="1"/>
    <n v="13"/>
    <n v="13"/>
    <n v="13"/>
    <n v="13"/>
    <x v="1"/>
  </r>
  <r>
    <x v="2"/>
    <x v="2"/>
    <n v="14"/>
    <n v="12"/>
    <n v="12"/>
    <n v="12.66666666666666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4" cacheId="2" applyNumberFormats="0" applyBorderFormats="0" applyFontFormats="0" applyPatternFormats="0" applyAlignmentFormats="0" applyWidthHeightFormats="1" dataCaption="Значения" updatedVersion="5" minRefreshableVersion="3" useAutoFormatting="1" rowGrandTotals="0" itemPrintTitles="1" createdVersion="5" indent="0" outline="1" outlineData="1" multipleFieldFilters="0" rowHeaderCaption="Место, фИО">
  <location ref="B29:C38" firstHeaderRow="1" firstDataRow="1" firstDataCol="1"/>
  <pivotFields count="7"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  <pivotField dataField="1" numFmtId="164" showAll="0"/>
    <pivotField axis="axisRow" showAll="0">
      <items count="4">
        <item n="I Место" x="0"/>
        <item n="II Место" x="1"/>
        <item n="III Место" x="2"/>
        <item t="default"/>
      </items>
    </pivotField>
  </pivotFields>
  <rowFields count="3">
    <field x="6"/>
    <field x="0"/>
    <field x="1"/>
  </rowFields>
  <rowItems count="9">
    <i>
      <x/>
    </i>
    <i r="1">
      <x/>
    </i>
    <i r="2">
      <x v="2"/>
    </i>
    <i>
      <x v="1"/>
    </i>
    <i r="1">
      <x v="1"/>
    </i>
    <i r="2">
      <x/>
    </i>
    <i>
      <x v="2"/>
    </i>
    <i r="1">
      <x v="2"/>
    </i>
    <i r="2">
      <x v="1"/>
    </i>
  </rowItems>
  <colItems count="1">
    <i/>
  </colItems>
  <dataFields count="1">
    <dataField name="Среднее по полю Итого" fld="5" subtotal="average" baseField="6" baseItem="0" numFmtId="164"/>
  </dataFields>
  <formats count="31">
    <format dxfId="30">
      <pivotArea field="6" type="button" dataOnly="0" labelOnly="1" outline="0" axis="axisRow" fieldPosition="0"/>
    </format>
    <format dxfId="29">
      <pivotArea dataOnly="0" labelOnly="1" outline="0" axis="axisValues" fieldPosition="0"/>
    </format>
    <format dxfId="28">
      <pivotArea dataOnly="0" labelOnly="1" fieldPosition="0">
        <references count="1">
          <reference field="6" count="1">
            <x v="0"/>
          </reference>
        </references>
      </pivotArea>
    </format>
    <format dxfId="27">
      <pivotArea dataOnly="0" labelOnly="1" fieldPosition="0">
        <references count="1">
          <reference field="6" count="1">
            <x v="1"/>
          </reference>
        </references>
      </pivotArea>
    </format>
    <format dxfId="26">
      <pivotArea dataOnly="0" labelOnly="1" fieldPosition="0">
        <references count="1">
          <reference field="6" count="1">
            <x v="2"/>
          </reference>
        </references>
      </pivotArea>
    </format>
    <format dxfId="25">
      <pivotArea dataOnly="0" labelOnly="1" fieldPosition="0">
        <references count="2">
          <reference field="0" count="1">
            <x v="0"/>
          </reference>
          <reference field="6" count="1" selected="0">
            <x v="0"/>
          </reference>
        </references>
      </pivotArea>
    </format>
    <format dxfId="24">
      <pivotArea dataOnly="0" labelOnly="1" fieldPosition="0">
        <references count="2">
          <reference field="0" count="1">
            <x v="1"/>
          </reference>
          <reference field="6" count="1" selected="0">
            <x v="1"/>
          </reference>
        </references>
      </pivotArea>
    </format>
    <format dxfId="23">
      <pivotArea dataOnly="0" labelOnly="1" fieldPosition="0">
        <references count="2">
          <reference field="0" count="1">
            <x v="2"/>
          </reference>
          <reference field="6" count="1" selected="0">
            <x v="2"/>
          </reference>
        </references>
      </pivotArea>
    </format>
    <format dxfId="22">
      <pivotArea dataOnly="0" labelOnly="1" fieldPosition="0">
        <references count="3">
          <reference field="0" count="1" selected="0">
            <x v="0"/>
          </reference>
          <reference field="1" count="1">
            <x v="2"/>
          </reference>
          <reference field="6" count="1" selected="0">
            <x v="0"/>
          </reference>
        </references>
      </pivotArea>
    </format>
    <format dxfId="21">
      <pivotArea dataOnly="0" labelOnly="1" fieldPosition="0">
        <references count="3">
          <reference field="0" count="1" selected="0">
            <x v="1"/>
          </reference>
          <reference field="1" count="1">
            <x v="0"/>
          </reference>
          <reference field="6" count="1" selected="0">
            <x v="1"/>
          </reference>
        </references>
      </pivotArea>
    </format>
    <format dxfId="20">
      <pivotArea dataOnly="0" labelOnly="1" fieldPosition="0">
        <references count="3">
          <reference field="0" count="1" selected="0">
            <x v="2"/>
          </reference>
          <reference field="1" count="1">
            <x v="1"/>
          </reference>
          <reference field="6" count="1" selected="0">
            <x v="2"/>
          </reference>
        </references>
      </pivotArea>
    </format>
    <format dxfId="19">
      <pivotArea field="6" type="button" dataOnly="0" labelOnly="1" outline="0" axis="axisRow" fieldPosition="0"/>
    </format>
    <format dxfId="18">
      <pivotArea dataOnly="0" labelOnly="1" outline="0" axis="axisValues" fieldPosition="0"/>
    </format>
    <format dxfId="17">
      <pivotArea collapsedLevelsAreSubtotals="1" fieldPosition="0">
        <references count="1">
          <reference field="6" count="1">
            <x v="0"/>
          </reference>
        </references>
      </pivotArea>
    </format>
    <format dxfId="16">
      <pivotArea collapsedLevelsAreSubtotals="1" fieldPosition="0">
        <references count="2">
          <reference field="0" count="1">
            <x v="0"/>
          </reference>
          <reference field="6" count="1" selected="0">
            <x v="0"/>
          </reference>
        </references>
      </pivotArea>
    </format>
    <format dxfId="15">
      <pivotArea collapsedLevelsAreSubtotals="1" fieldPosition="0">
        <references count="3">
          <reference field="0" count="1" selected="0">
            <x v="0"/>
          </reference>
          <reference field="1" count="1">
            <x v="2"/>
          </reference>
          <reference field="6" count="1" selected="0">
            <x v="0"/>
          </reference>
        </references>
      </pivotArea>
    </format>
    <format dxfId="14">
      <pivotArea collapsedLevelsAreSubtotals="1" fieldPosition="0">
        <references count="1">
          <reference field="6" count="1">
            <x v="1"/>
          </reference>
        </references>
      </pivotArea>
    </format>
    <format dxfId="13">
      <pivotArea collapsedLevelsAreSubtotals="1" fieldPosition="0">
        <references count="2">
          <reference field="0" count="1">
            <x v="1"/>
          </reference>
          <reference field="6" count="1" selected="0">
            <x v="1"/>
          </reference>
        </references>
      </pivotArea>
    </format>
    <format dxfId="12">
      <pivotArea collapsedLevelsAreSubtotals="1" fieldPosition="0">
        <references count="3">
          <reference field="0" count="1" selected="0">
            <x v="1"/>
          </reference>
          <reference field="1" count="1">
            <x v="0"/>
          </reference>
          <reference field="6" count="1" selected="0">
            <x v="1"/>
          </reference>
        </references>
      </pivotArea>
    </format>
    <format dxfId="11">
      <pivotArea collapsedLevelsAreSubtotals="1" fieldPosition="0">
        <references count="1">
          <reference field="6" count="1">
            <x v="2"/>
          </reference>
        </references>
      </pivotArea>
    </format>
    <format dxfId="10">
      <pivotArea collapsedLevelsAreSubtotals="1" fieldPosition="0">
        <references count="2">
          <reference field="0" count="1">
            <x v="2"/>
          </reference>
          <reference field="6" count="1" selected="0">
            <x v="2"/>
          </reference>
        </references>
      </pivotArea>
    </format>
    <format dxfId="9">
      <pivotArea collapsedLevelsAreSubtotals="1" fieldPosition="0">
        <references count="3">
          <reference field="0" count="1" selected="0">
            <x v="2"/>
          </reference>
          <reference field="1" count="1">
            <x v="1"/>
          </reference>
          <reference field="6" count="1" selected="0">
            <x v="2"/>
          </reference>
        </references>
      </pivotArea>
    </format>
    <format dxfId="8">
      <pivotArea collapsedLevelsAreSubtotals="1" fieldPosition="0">
        <references count="1">
          <reference field="6" count="1">
            <x v="0"/>
          </reference>
        </references>
      </pivotArea>
    </format>
    <format dxfId="7">
      <pivotArea collapsedLevelsAreSubtotals="1" fieldPosition="0">
        <references count="2">
          <reference field="0" count="1">
            <x v="0"/>
          </reference>
          <reference field="6" count="1" selected="0">
            <x v="0"/>
          </reference>
        </references>
      </pivotArea>
    </format>
    <format dxfId="6">
      <pivotArea collapsedLevelsAreSubtotals="1" fieldPosition="0">
        <references count="3">
          <reference field="0" count="1" selected="0">
            <x v="0"/>
          </reference>
          <reference field="1" count="1">
            <x v="2"/>
          </reference>
          <reference field="6" count="1" selected="0">
            <x v="0"/>
          </reference>
        </references>
      </pivotArea>
    </format>
    <format dxfId="5">
      <pivotArea collapsedLevelsAreSubtotals="1" fieldPosition="0">
        <references count="1">
          <reference field="6" count="1">
            <x v="1"/>
          </reference>
        </references>
      </pivotArea>
    </format>
    <format dxfId="4">
      <pivotArea collapsedLevelsAreSubtotals="1" fieldPosition="0">
        <references count="2">
          <reference field="0" count="1">
            <x v="1"/>
          </reference>
          <reference field="6" count="1" selected="0">
            <x v="1"/>
          </reference>
        </references>
      </pivotArea>
    </format>
    <format dxfId="3">
      <pivotArea collapsedLevelsAreSubtotals="1" fieldPosition="0">
        <references count="3">
          <reference field="0" count="1" selected="0">
            <x v="1"/>
          </reference>
          <reference field="1" count="1">
            <x v="0"/>
          </reference>
          <reference field="6" count="1" selected="0">
            <x v="1"/>
          </reference>
        </references>
      </pivotArea>
    </format>
    <format dxfId="2">
      <pivotArea collapsedLevelsAreSubtotals="1" fieldPosition="0">
        <references count="1">
          <reference field="6" count="1">
            <x v="2"/>
          </reference>
        </references>
      </pivotArea>
    </format>
    <format dxfId="1">
      <pivotArea collapsedLevelsAreSubtotals="1" fieldPosition="0">
        <references count="2">
          <reference field="0" count="1">
            <x v="2"/>
          </reference>
          <reference field="6" count="1" selected="0">
            <x v="2"/>
          </reference>
        </references>
      </pivotArea>
    </format>
    <format dxfId="0">
      <pivotArea collapsedLevelsAreSubtotals="1" fieldPosition="0">
        <references count="3">
          <reference field="0" count="1" selected="0">
            <x v="2"/>
          </reference>
          <reference field="1" count="1">
            <x v="1"/>
          </reference>
          <reference field="6" count="1" selected="0">
            <x v="2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1" dataCaption="Значения" updatedVersion="5" minRefreshableVersion="3" useAutoFormatting="1" rowGrandTotals="0" itemPrintTitles="1" createdVersion="5" indent="0" outline="1" outlineData="1" multipleFieldFilters="0" rowHeaderCaption="Место, Фио">
  <location ref="B16:C25" firstHeaderRow="1" firstDataRow="1" firstDataCol="1"/>
  <pivotFields count="7">
    <pivotField axis="axisRow" showAll="0">
      <items count="4">
        <item x="1"/>
        <item x="2"/>
        <item x="0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dataField="1" numFmtId="164" showAll="0"/>
    <pivotField axis="axisRow" showAll="0">
      <items count="4">
        <item n="I Место" x="0"/>
        <item n="II Место" x="1"/>
        <item n="III Место" x="2"/>
        <item t="default"/>
      </items>
    </pivotField>
  </pivotFields>
  <rowFields count="3">
    <field x="6"/>
    <field x="0"/>
    <field x="1"/>
  </rowFields>
  <rowItems count="9">
    <i>
      <x/>
    </i>
    <i r="1">
      <x v="2"/>
    </i>
    <i r="2">
      <x/>
    </i>
    <i>
      <x v="1"/>
    </i>
    <i r="1">
      <x/>
    </i>
    <i r="2">
      <x v="1"/>
    </i>
    <i>
      <x v="2"/>
    </i>
    <i r="1">
      <x v="1"/>
    </i>
    <i r="2">
      <x v="2"/>
    </i>
  </rowItems>
  <colItems count="1">
    <i/>
  </colItems>
  <dataFields count="1">
    <dataField name="Среднее по полю Итого" fld="5" subtotal="average" baseField="6" baseItem="0" numFmtId="164"/>
  </dataFields>
  <formats count="70">
    <format dxfId="100">
      <pivotArea outline="0" fieldPosition="0">
        <references count="1">
          <reference field="4294967294" count="1">
            <x v="0"/>
          </reference>
        </references>
      </pivotArea>
    </format>
    <format dxfId="99">
      <pivotArea type="all" dataOnly="0" outline="0" fieldPosition="0"/>
    </format>
    <format dxfId="98">
      <pivotArea outline="0" collapsedLevelsAreSubtotals="1" fieldPosition="0"/>
    </format>
    <format dxfId="97">
      <pivotArea field="6" type="button" dataOnly="0" labelOnly="1" outline="0" axis="axisRow" fieldPosition="0"/>
    </format>
    <format dxfId="96">
      <pivotArea dataOnly="0" labelOnly="1" outline="0" axis="axisValues" fieldPosition="0"/>
    </format>
    <format dxfId="95">
      <pivotArea dataOnly="0" labelOnly="1" fieldPosition="0">
        <references count="1">
          <reference field="6" count="0"/>
        </references>
      </pivotArea>
    </format>
    <format dxfId="94">
      <pivotArea dataOnly="0" labelOnly="1" fieldPosition="0">
        <references count="2">
          <reference field="0" count="0"/>
          <reference field="6" count="1" selected="0">
            <x v="0"/>
          </reference>
        </references>
      </pivotArea>
    </format>
    <format dxfId="93">
      <pivotArea dataOnly="0" labelOnly="1" fieldPosition="0">
        <references count="3">
          <reference field="0" count="1" selected="0">
            <x v="2"/>
          </reference>
          <reference field="1" count="0"/>
          <reference field="6" count="1" selected="0">
            <x v="0"/>
          </reference>
        </references>
      </pivotArea>
    </format>
    <format dxfId="92">
      <pivotArea field="6" type="button" dataOnly="0" labelOnly="1" outline="0" axis="axisRow" fieldPosition="0"/>
    </format>
    <format dxfId="91">
      <pivotArea dataOnly="0" labelOnly="1" outline="0" axis="axisValues" fieldPosition="0"/>
    </format>
    <format dxfId="90">
      <pivotArea dataOnly="0" labelOnly="1" fieldPosition="0">
        <references count="1">
          <reference field="6" count="1">
            <x v="0"/>
          </reference>
        </references>
      </pivotArea>
    </format>
    <format dxfId="89">
      <pivotArea dataOnly="0" labelOnly="1" fieldPosition="0">
        <references count="3">
          <reference field="0" count="1" selected="0">
            <x v="2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88">
      <pivotArea dataOnly="0" labelOnly="1" fieldPosition="0">
        <references count="1">
          <reference field="6" count="1">
            <x v="1"/>
          </reference>
        </references>
      </pivotArea>
    </format>
    <format dxfId="87">
      <pivotArea dataOnly="0" labelOnly="1" fieldPosition="0">
        <references count="1">
          <reference field="6" count="1">
            <x v="2"/>
          </reference>
        </references>
      </pivotArea>
    </format>
    <format dxfId="86">
      <pivotArea dataOnly="0" labelOnly="1" fieldPosition="0">
        <references count="2">
          <reference field="0" count="1">
            <x v="0"/>
          </reference>
          <reference field="6" count="1" selected="0">
            <x v="1"/>
          </reference>
        </references>
      </pivotArea>
    </format>
    <format dxfId="85">
      <pivotArea dataOnly="0" labelOnly="1" fieldPosition="0">
        <references count="2">
          <reference field="0" count="1">
            <x v="1"/>
          </reference>
          <reference field="6" count="1" selected="0">
            <x v="2"/>
          </reference>
        </references>
      </pivotArea>
    </format>
    <format dxfId="84">
      <pivotArea dataOnly="0" labelOnly="1" fieldPosition="0">
        <references count="3">
          <reference field="0" count="1" selected="0">
            <x v="0"/>
          </reference>
          <reference field="1" count="1">
            <x v="1"/>
          </reference>
          <reference field="6" count="1" selected="0">
            <x v="1"/>
          </reference>
        </references>
      </pivotArea>
    </format>
    <format dxfId="83">
      <pivotArea dataOnly="0" labelOnly="1" fieldPosition="0">
        <references count="3">
          <reference field="0" count="1" selected="0">
            <x v="1"/>
          </reference>
          <reference field="1" count="1">
            <x v="2"/>
          </reference>
          <reference field="6" count="1" selected="0">
            <x v="2"/>
          </reference>
        </references>
      </pivotArea>
    </format>
    <format dxfId="82">
      <pivotArea collapsedLevelsAreSubtotals="1" fieldPosition="0">
        <references count="3">
          <reference field="0" count="1" selected="0">
            <x v="2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81">
      <pivotArea collapsedLevelsAreSubtotals="1" fieldPosition="0">
        <references count="3">
          <reference field="0" count="1" selected="0">
            <x v="0"/>
          </reference>
          <reference field="1" count="1">
            <x v="1"/>
          </reference>
          <reference field="6" count="1" selected="0">
            <x v="1"/>
          </reference>
        </references>
      </pivotArea>
    </format>
    <format dxfId="80">
      <pivotArea collapsedLevelsAreSubtotals="1" fieldPosition="0">
        <references count="3">
          <reference field="0" count="1" selected="0">
            <x v="1"/>
          </reference>
          <reference field="1" count="1">
            <x v="2"/>
          </reference>
          <reference field="6" count="1" selected="0">
            <x v="2"/>
          </reference>
        </references>
      </pivotArea>
    </format>
    <format dxfId="79">
      <pivotArea field="6" type="button" dataOnly="0" labelOnly="1" outline="0" axis="axisRow" fieldPosition="0"/>
    </format>
    <format dxfId="78">
      <pivotArea dataOnly="0" labelOnly="1" outline="0" axis="axisValues" fieldPosition="0"/>
    </format>
    <format dxfId="77">
      <pivotArea field="6" type="button" dataOnly="0" labelOnly="1" outline="0" axis="axisRow" fieldPosition="0"/>
    </format>
    <format dxfId="76">
      <pivotArea dataOnly="0" labelOnly="1" fieldPosition="0">
        <references count="1">
          <reference field="6" count="1">
            <x v="0"/>
          </reference>
        </references>
      </pivotArea>
    </format>
    <format dxfId="75">
      <pivotArea dataOnly="0" labelOnly="1" fieldPosition="0">
        <references count="1">
          <reference field="6" count="1">
            <x v="1"/>
          </reference>
        </references>
      </pivotArea>
    </format>
    <format dxfId="74">
      <pivotArea dataOnly="0" labelOnly="1" fieldPosition="0">
        <references count="1">
          <reference field="6" count="1">
            <x v="2"/>
          </reference>
        </references>
      </pivotArea>
    </format>
    <format dxfId="73">
      <pivotArea collapsedLevelsAreSubtotals="1" fieldPosition="0">
        <references count="2">
          <reference field="0" count="1">
            <x v="2"/>
          </reference>
          <reference field="6" count="1" selected="0">
            <x v="0"/>
          </reference>
        </references>
      </pivotArea>
    </format>
    <format dxfId="72">
      <pivotArea collapsedLevelsAreSubtotals="1" fieldPosition="0">
        <references count="2">
          <reference field="0" count="1">
            <x v="0"/>
          </reference>
          <reference field="6" count="1" selected="0">
            <x v="1"/>
          </reference>
        </references>
      </pivotArea>
    </format>
    <format dxfId="71">
      <pivotArea collapsedLevelsAreSubtotals="1" fieldPosition="0">
        <references count="2">
          <reference field="0" count="1">
            <x v="1"/>
          </reference>
          <reference field="6" count="1" selected="0">
            <x v="2"/>
          </reference>
        </references>
      </pivotArea>
    </format>
    <format dxfId="70">
      <pivotArea collapsedLevelsAreSubtotals="1" fieldPosition="0">
        <references count="2">
          <reference field="0" count="1">
            <x v="2"/>
          </reference>
          <reference field="6" count="1" selected="0">
            <x v="0"/>
          </reference>
        </references>
      </pivotArea>
    </format>
    <format dxfId="69">
      <pivotArea collapsedLevelsAreSubtotals="1" fieldPosition="0">
        <references count="3">
          <reference field="0" count="1" selected="0">
            <x v="2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68">
      <pivotArea collapsedLevelsAreSubtotals="1" fieldPosition="0">
        <references count="2">
          <reference field="0" count="1">
            <x v="0"/>
          </reference>
          <reference field="6" count="1" selected="0">
            <x v="1"/>
          </reference>
        </references>
      </pivotArea>
    </format>
    <format dxfId="67">
      <pivotArea collapsedLevelsAreSubtotals="1" fieldPosition="0">
        <references count="3">
          <reference field="0" count="1" selected="0">
            <x v="0"/>
          </reference>
          <reference field="1" count="1">
            <x v="1"/>
          </reference>
          <reference field="6" count="1" selected="0">
            <x v="1"/>
          </reference>
        </references>
      </pivotArea>
    </format>
    <format dxfId="66">
      <pivotArea collapsedLevelsAreSubtotals="1" fieldPosition="0">
        <references count="1">
          <reference field="6" count="1">
            <x v="2"/>
          </reference>
        </references>
      </pivotArea>
    </format>
    <format dxfId="65">
      <pivotArea collapsedLevelsAreSubtotals="1" fieldPosition="0">
        <references count="1">
          <reference field="6" count="1">
            <x v="1"/>
          </reference>
        </references>
      </pivotArea>
    </format>
    <format dxfId="64">
      <pivotArea collapsedLevelsAreSubtotals="1" fieldPosition="0">
        <references count="1">
          <reference field="6" count="1">
            <x v="0"/>
          </reference>
        </references>
      </pivotArea>
    </format>
    <format dxfId="63">
      <pivotArea dataOnly="0" labelOnly="1" outline="0" axis="axisValues" fieldPosition="0"/>
    </format>
    <format dxfId="62">
      <pivotArea collapsedLevelsAreSubtotals="1" fieldPosition="0">
        <references count="1">
          <reference field="6" count="1">
            <x v="0"/>
          </reference>
        </references>
      </pivotArea>
    </format>
    <format dxfId="61">
      <pivotArea collapsedLevelsAreSubtotals="1" fieldPosition="0">
        <references count="2">
          <reference field="0" count="1">
            <x v="2"/>
          </reference>
          <reference field="6" count="1" selected="0">
            <x v="0"/>
          </reference>
        </references>
      </pivotArea>
    </format>
    <format dxfId="60">
      <pivotArea collapsedLevelsAreSubtotals="1" fieldPosition="0">
        <references count="3">
          <reference field="0" count="1" selected="0">
            <x v="2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59">
      <pivotArea collapsedLevelsAreSubtotals="1" fieldPosition="0">
        <references count="1">
          <reference field="6" count="1">
            <x v="1"/>
          </reference>
        </references>
      </pivotArea>
    </format>
    <format dxfId="58">
      <pivotArea collapsedLevelsAreSubtotals="1" fieldPosition="0">
        <references count="2">
          <reference field="0" count="1">
            <x v="0"/>
          </reference>
          <reference field="6" count="1" selected="0">
            <x v="1"/>
          </reference>
        </references>
      </pivotArea>
    </format>
    <format dxfId="57">
      <pivotArea collapsedLevelsAreSubtotals="1" fieldPosition="0">
        <references count="3">
          <reference field="0" count="1" selected="0">
            <x v="0"/>
          </reference>
          <reference field="1" count="1">
            <x v="1"/>
          </reference>
          <reference field="6" count="1" selected="0">
            <x v="1"/>
          </reference>
        </references>
      </pivotArea>
    </format>
    <format dxfId="56">
      <pivotArea collapsedLevelsAreSubtotals="1" fieldPosition="0">
        <references count="1">
          <reference field="6" count="1">
            <x v="2"/>
          </reference>
        </references>
      </pivotArea>
    </format>
    <format dxfId="55">
      <pivotArea collapsedLevelsAreSubtotals="1" fieldPosition="0">
        <references count="1">
          <reference field="6" count="1">
            <x v="0"/>
          </reference>
        </references>
      </pivotArea>
    </format>
    <format dxfId="54">
      <pivotArea collapsedLevelsAreSubtotals="1" fieldPosition="0">
        <references count="2">
          <reference field="0" count="1">
            <x v="2"/>
          </reference>
          <reference field="6" count="1" selected="0">
            <x v="0"/>
          </reference>
        </references>
      </pivotArea>
    </format>
    <format dxfId="53">
      <pivotArea collapsedLevelsAreSubtotals="1" fieldPosition="0">
        <references count="3">
          <reference field="0" count="1" selected="0">
            <x v="2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52">
      <pivotArea collapsedLevelsAreSubtotals="1" fieldPosition="0">
        <references count="1">
          <reference field="6" count="1">
            <x v="1"/>
          </reference>
        </references>
      </pivotArea>
    </format>
    <format dxfId="51">
      <pivotArea collapsedLevelsAreSubtotals="1" fieldPosition="0">
        <references count="2">
          <reference field="0" count="1">
            <x v="0"/>
          </reference>
          <reference field="6" count="1" selected="0">
            <x v="1"/>
          </reference>
        </references>
      </pivotArea>
    </format>
    <format dxfId="50">
      <pivotArea collapsedLevelsAreSubtotals="1" fieldPosition="0">
        <references count="3">
          <reference field="0" count="1" selected="0">
            <x v="0"/>
          </reference>
          <reference field="1" count="1">
            <x v="1"/>
          </reference>
          <reference field="6" count="1" selected="0">
            <x v="1"/>
          </reference>
        </references>
      </pivotArea>
    </format>
    <format dxfId="49">
      <pivotArea collapsedLevelsAreSubtotals="1" fieldPosition="0">
        <references count="1">
          <reference field="6" count="1">
            <x v="2"/>
          </reference>
        </references>
      </pivotArea>
    </format>
    <format dxfId="48">
      <pivotArea dataOnly="0" labelOnly="1" fieldPosition="0">
        <references count="1">
          <reference field="6" count="1">
            <x v="0"/>
          </reference>
        </references>
      </pivotArea>
    </format>
    <format dxfId="47">
      <pivotArea dataOnly="0" labelOnly="1" fieldPosition="0">
        <references count="2">
          <reference field="0" count="1">
            <x v="2"/>
          </reference>
          <reference field="6" count="1" selected="0">
            <x v="0"/>
          </reference>
        </references>
      </pivotArea>
    </format>
    <format dxfId="46">
      <pivotArea dataOnly="0" labelOnly="1" fieldPosition="0">
        <references count="3">
          <reference field="0" count="1" selected="0">
            <x v="2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45">
      <pivotArea dataOnly="0" labelOnly="1" fieldPosition="0">
        <references count="1">
          <reference field="6" count="1">
            <x v="1"/>
          </reference>
        </references>
      </pivotArea>
    </format>
    <format dxfId="44">
      <pivotArea dataOnly="0" labelOnly="1" fieldPosition="0">
        <references count="2">
          <reference field="0" count="1">
            <x v="0"/>
          </reference>
          <reference field="6" count="1" selected="0">
            <x v="1"/>
          </reference>
        </references>
      </pivotArea>
    </format>
    <format dxfId="43">
      <pivotArea dataOnly="0" labelOnly="1" fieldPosition="0">
        <references count="3">
          <reference field="0" count="1" selected="0">
            <x v="0"/>
          </reference>
          <reference field="1" count="1">
            <x v="1"/>
          </reference>
          <reference field="6" count="1" selected="0">
            <x v="1"/>
          </reference>
        </references>
      </pivotArea>
    </format>
    <format dxfId="42">
      <pivotArea dataOnly="0" labelOnly="1" fieldPosition="0">
        <references count="1">
          <reference field="6" count="1">
            <x v="2"/>
          </reference>
        </references>
      </pivotArea>
    </format>
    <format dxfId="41">
      <pivotArea dataOnly="0" labelOnly="1" fieldPosition="0">
        <references count="2">
          <reference field="0" count="1">
            <x v="1"/>
          </reference>
          <reference field="6" count="1" selected="0">
            <x v="2"/>
          </reference>
        </references>
      </pivotArea>
    </format>
    <format dxfId="40">
      <pivotArea dataOnly="0" labelOnly="1" fieldPosition="0">
        <references count="3">
          <reference field="0" count="1" selected="0">
            <x v="1"/>
          </reference>
          <reference field="1" count="1">
            <x v="2"/>
          </reference>
          <reference field="6" count="1" selected="0">
            <x v="2"/>
          </reference>
        </references>
      </pivotArea>
    </format>
    <format dxfId="39">
      <pivotArea collapsedLevelsAreSubtotals="1" fieldPosition="0">
        <references count="1">
          <reference field="6" count="1">
            <x v="0"/>
          </reference>
        </references>
      </pivotArea>
    </format>
    <format dxfId="38">
      <pivotArea collapsedLevelsAreSubtotals="1" fieldPosition="0">
        <references count="2">
          <reference field="0" count="1">
            <x v="2"/>
          </reference>
          <reference field="6" count="1" selected="0">
            <x v="0"/>
          </reference>
        </references>
      </pivotArea>
    </format>
    <format dxfId="37">
      <pivotArea collapsedLevelsAreSubtotals="1" fieldPosition="0">
        <references count="3">
          <reference field="0" count="1" selected="0">
            <x v="2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36">
      <pivotArea collapsedLevelsAreSubtotals="1" fieldPosition="0">
        <references count="1">
          <reference field="6" count="1">
            <x v="1"/>
          </reference>
        </references>
      </pivotArea>
    </format>
    <format dxfId="35">
      <pivotArea collapsedLevelsAreSubtotals="1" fieldPosition="0">
        <references count="2">
          <reference field="0" count="1">
            <x v="0"/>
          </reference>
          <reference field="6" count="1" selected="0">
            <x v="1"/>
          </reference>
        </references>
      </pivotArea>
    </format>
    <format dxfId="34">
      <pivotArea collapsedLevelsAreSubtotals="1" fieldPosition="0">
        <references count="3">
          <reference field="0" count="1" selected="0">
            <x v="0"/>
          </reference>
          <reference field="1" count="1">
            <x v="1"/>
          </reference>
          <reference field="6" count="1" selected="0">
            <x v="1"/>
          </reference>
        </references>
      </pivotArea>
    </format>
    <format dxfId="33">
      <pivotArea collapsedLevelsAreSubtotals="1" fieldPosition="0">
        <references count="1">
          <reference field="6" count="1">
            <x v="2"/>
          </reference>
        </references>
      </pivotArea>
    </format>
    <format dxfId="32">
      <pivotArea collapsedLevelsAreSubtotals="1" fieldPosition="0">
        <references count="2">
          <reference field="0" count="1">
            <x v="1"/>
          </reference>
          <reference field="6" count="1" selected="0">
            <x v="2"/>
          </reference>
        </references>
      </pivotArea>
    </format>
    <format dxfId="31">
      <pivotArea collapsedLevelsAreSubtotals="1" fieldPosition="0">
        <references count="3">
          <reference field="0" count="1" selected="0">
            <x v="1"/>
          </reference>
          <reference field="1" count="1">
            <x v="2"/>
          </reference>
          <reference field="6" count="1" selected="0">
            <x v="2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5" minRefreshableVersion="3" useAutoFormatting="1" rowGrandTotals="0" itemPrintTitles="1" createdVersion="5" indent="0" outline="1" outlineData="1" multipleFieldFilters="0" chartFormat="1" rowHeaderCaption="Место, ФИО">
  <location ref="B3:C12" firstHeaderRow="1" firstDataRow="1" firstDataCol="1"/>
  <pivotFields count="7">
    <pivotField axis="axisRow" showAll="0">
      <items count="4">
        <item x="2"/>
        <item x="1"/>
        <item x="0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dataField="1" numFmtId="164" showAll="0">
      <items count="4">
        <item x="2"/>
        <item x="1"/>
        <item x="0"/>
        <item t="default"/>
      </items>
    </pivotField>
    <pivotField axis="axisRow" showAll="0">
      <items count="4">
        <item n="I Место" x="0"/>
        <item n="II Место" x="1"/>
        <item n="III Место" x="2"/>
        <item t="default"/>
      </items>
    </pivotField>
  </pivotFields>
  <rowFields count="3">
    <field x="6"/>
    <field x="0"/>
    <field x="1"/>
  </rowFields>
  <rowItems count="9">
    <i>
      <x/>
    </i>
    <i r="1">
      <x v="2"/>
    </i>
    <i r="2">
      <x/>
    </i>
    <i>
      <x v="1"/>
    </i>
    <i r="1">
      <x v="1"/>
    </i>
    <i r="2">
      <x v="1"/>
    </i>
    <i>
      <x v="2"/>
    </i>
    <i r="1">
      <x/>
    </i>
    <i r="2">
      <x v="2"/>
    </i>
  </rowItems>
  <colItems count="1">
    <i/>
  </colItems>
  <dataFields count="1">
    <dataField name="Среднее по полю Итого" fld="5" subtotal="average" baseField="0" baseItem="0" numFmtId="164"/>
  </dataFields>
  <formats count="63">
    <format dxfId="163">
      <pivotArea field="6" type="button" dataOnly="0" labelOnly="1" outline="0" axis="axisRow" fieldPosition="0"/>
    </format>
    <format dxfId="162">
      <pivotArea dataOnly="0" labelOnly="1" outline="0" axis="axisValues" fieldPosition="0"/>
    </format>
    <format dxfId="161">
      <pivotArea field="6" type="button" dataOnly="0" labelOnly="1" outline="0" axis="axisRow" fieldPosition="0"/>
    </format>
    <format dxfId="160">
      <pivotArea dataOnly="0" labelOnly="1" outline="0" axis="axisValues" fieldPosition="0"/>
    </format>
    <format dxfId="159">
      <pivotArea field="6" type="button" dataOnly="0" labelOnly="1" outline="0" axis="axisRow" fieldPosition="0"/>
    </format>
    <format dxfId="158">
      <pivotArea dataOnly="0" labelOnly="1" outline="0" axis="axisValues" fieldPosition="0"/>
    </format>
    <format dxfId="157">
      <pivotArea collapsedLevelsAreSubtotals="1" fieldPosition="0">
        <references count="2">
          <reference field="0" count="1">
            <x v="2"/>
          </reference>
          <reference field="6" count="1" selected="0">
            <x v="0"/>
          </reference>
        </references>
      </pivotArea>
    </format>
    <format dxfId="156">
      <pivotArea collapsedLevelsAreSubtotals="1" fieldPosition="0">
        <references count="3">
          <reference field="0" count="1" selected="0">
            <x v="2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155">
      <pivotArea collapsedLevelsAreSubtotals="1" fieldPosition="0">
        <references count="2">
          <reference field="0" count="1">
            <x v="1"/>
          </reference>
          <reference field="6" count="1" selected="0">
            <x v="1"/>
          </reference>
        </references>
      </pivotArea>
    </format>
    <format dxfId="154">
      <pivotArea collapsedLevelsAreSubtotals="1" fieldPosition="0">
        <references count="3">
          <reference field="0" count="1" selected="0">
            <x v="1"/>
          </reference>
          <reference field="1" count="1">
            <x v="1"/>
          </reference>
          <reference field="6" count="1" selected="0">
            <x v="1"/>
          </reference>
        </references>
      </pivotArea>
    </format>
    <format dxfId="153">
      <pivotArea collapsedLevelsAreSubtotals="1" fieldPosition="0">
        <references count="2">
          <reference field="0" count="1">
            <x v="0"/>
          </reference>
          <reference field="6" count="1" selected="0">
            <x v="2"/>
          </reference>
        </references>
      </pivotArea>
    </format>
    <format dxfId="152">
      <pivotArea collapsedLevelsAreSubtotals="1" fieldPosition="0">
        <references count="3">
          <reference field="0" count="1" selected="0">
            <x v="0"/>
          </reference>
          <reference field="1" count="1">
            <x v="2"/>
          </reference>
          <reference field="6" count="1" selected="0">
            <x v="2"/>
          </reference>
        </references>
      </pivotArea>
    </format>
    <format dxfId="151">
      <pivotArea field="6" type="button" dataOnly="0" labelOnly="1" outline="0" axis="axisRow" fieldPosition="0"/>
    </format>
    <format dxfId="150">
      <pivotArea dataOnly="0" labelOnly="1" outline="0" axis="axisValues" fieldPosition="0"/>
    </format>
    <format dxfId="149">
      <pivotArea field="6" type="button" dataOnly="0" labelOnly="1" outline="0" axis="axisRow" fieldPosition="0"/>
    </format>
    <format dxfId="148">
      <pivotArea dataOnly="0" labelOnly="1" outline="0" axis="axisValues" fieldPosition="0"/>
    </format>
    <format dxfId="147">
      <pivotArea collapsedLevelsAreSubtotals="1" fieldPosition="0">
        <references count="1">
          <reference field="6" count="1">
            <x v="0"/>
          </reference>
        </references>
      </pivotArea>
    </format>
    <format dxfId="146">
      <pivotArea dataOnly="0" labelOnly="1" fieldPosition="0">
        <references count="1">
          <reference field="6" count="1">
            <x v="0"/>
          </reference>
        </references>
      </pivotArea>
    </format>
    <format dxfId="145">
      <pivotArea collapsedLevelsAreSubtotals="1" fieldPosition="0">
        <references count="1">
          <reference field="6" count="1">
            <x v="0"/>
          </reference>
        </references>
      </pivotArea>
    </format>
    <format dxfId="144">
      <pivotArea dataOnly="0" labelOnly="1" fieldPosition="0">
        <references count="1">
          <reference field="6" count="1">
            <x v="0"/>
          </reference>
        </references>
      </pivotArea>
    </format>
    <format dxfId="143">
      <pivotArea collapsedLevelsAreSubtotals="1" fieldPosition="0">
        <references count="1">
          <reference field="6" count="1">
            <x v="1"/>
          </reference>
        </references>
      </pivotArea>
    </format>
    <format dxfId="142">
      <pivotArea dataOnly="0" labelOnly="1" fieldPosition="0">
        <references count="1">
          <reference field="6" count="1">
            <x v="1"/>
          </reference>
        </references>
      </pivotArea>
    </format>
    <format dxfId="141">
      <pivotArea collapsedLevelsAreSubtotals="1" fieldPosition="0">
        <references count="1">
          <reference field="6" count="1">
            <x v="2"/>
          </reference>
        </references>
      </pivotArea>
    </format>
    <format dxfId="140">
      <pivotArea dataOnly="0" labelOnly="1" fieldPosition="0">
        <references count="1">
          <reference field="6" count="1">
            <x v="2"/>
          </reference>
        </references>
      </pivotArea>
    </format>
    <format dxfId="139">
      <pivotArea type="all" dataOnly="0" outline="0" fieldPosition="0"/>
    </format>
    <format dxfId="138">
      <pivotArea outline="0" collapsedLevelsAreSubtotals="1" fieldPosition="0"/>
    </format>
    <format dxfId="137">
      <pivotArea field="6" type="button" dataOnly="0" labelOnly="1" outline="0" axis="axisRow" fieldPosition="0"/>
    </format>
    <format dxfId="136">
      <pivotArea dataOnly="0" labelOnly="1" outline="0" axis="axisValues" fieldPosition="0"/>
    </format>
    <format dxfId="135">
      <pivotArea dataOnly="0" labelOnly="1" fieldPosition="0">
        <references count="1">
          <reference field="6" count="0"/>
        </references>
      </pivotArea>
    </format>
    <format dxfId="134">
      <pivotArea dataOnly="0" labelOnly="1" fieldPosition="0">
        <references count="2">
          <reference field="0" count="0"/>
          <reference field="6" count="1" selected="0">
            <x v="0"/>
          </reference>
        </references>
      </pivotArea>
    </format>
    <format dxfId="133">
      <pivotArea dataOnly="0" labelOnly="1" fieldPosition="0">
        <references count="3">
          <reference field="0" count="1" selected="0">
            <x v="2"/>
          </reference>
          <reference field="1" count="0"/>
          <reference field="6" count="1" selected="0">
            <x v="0"/>
          </reference>
        </references>
      </pivotArea>
    </format>
    <format dxfId="132">
      <pivotArea type="all" dataOnly="0" outline="0" fieldPosition="0"/>
    </format>
    <format dxfId="131">
      <pivotArea outline="0" collapsedLevelsAreSubtotals="1" fieldPosition="0"/>
    </format>
    <format dxfId="130">
      <pivotArea field="6" type="button" dataOnly="0" labelOnly="1" outline="0" axis="axisRow" fieldPosition="0"/>
    </format>
    <format dxfId="129">
      <pivotArea dataOnly="0" labelOnly="1" outline="0" axis="axisValues" fieldPosition="0"/>
    </format>
    <format dxfId="128">
      <pivotArea dataOnly="0" labelOnly="1" fieldPosition="0">
        <references count="1">
          <reference field="6" count="0"/>
        </references>
      </pivotArea>
    </format>
    <format dxfId="127">
      <pivotArea dataOnly="0" labelOnly="1" fieldPosition="0">
        <references count="2">
          <reference field="0" count="0"/>
          <reference field="6" count="1" selected="0">
            <x v="0"/>
          </reference>
        </references>
      </pivotArea>
    </format>
    <format dxfId="126">
      <pivotArea dataOnly="0" labelOnly="1" fieldPosition="0">
        <references count="3">
          <reference field="0" count="1" selected="0">
            <x v="2"/>
          </reference>
          <reference field="1" count="0"/>
          <reference field="6" count="1" selected="0">
            <x v="0"/>
          </reference>
        </references>
      </pivotArea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field="6" type="button" dataOnly="0" labelOnly="1" outline="0" axis="axisRow" fieldPosition="0"/>
    </format>
    <format dxfId="122">
      <pivotArea dataOnly="0" labelOnly="1" outline="0" axis="axisValues" fieldPosition="0"/>
    </format>
    <format dxfId="121">
      <pivotArea dataOnly="0" labelOnly="1" fieldPosition="0">
        <references count="1">
          <reference field="6" count="0"/>
        </references>
      </pivotArea>
    </format>
    <format dxfId="120">
      <pivotArea dataOnly="0" labelOnly="1" fieldPosition="0">
        <references count="2">
          <reference field="0" count="0"/>
          <reference field="6" count="1" selected="0">
            <x v="0"/>
          </reference>
        </references>
      </pivotArea>
    </format>
    <format dxfId="119">
      <pivotArea dataOnly="0" labelOnly="1" fieldPosition="0">
        <references count="3">
          <reference field="0" count="1" selected="0">
            <x v="2"/>
          </reference>
          <reference field="1" count="0"/>
          <reference field="6" count="1" selected="0">
            <x v="0"/>
          </reference>
        </references>
      </pivotArea>
    </format>
    <format dxfId="118">
      <pivotArea dataOnly="0" labelOnly="1" fieldPosition="0">
        <references count="1">
          <reference field="6" count="1">
            <x v="0"/>
          </reference>
        </references>
      </pivotArea>
    </format>
    <format dxfId="117">
      <pivotArea dataOnly="0" labelOnly="1" fieldPosition="0">
        <references count="2">
          <reference field="0" count="1">
            <x v="2"/>
          </reference>
          <reference field="6" count="1" selected="0">
            <x v="0"/>
          </reference>
        </references>
      </pivotArea>
    </format>
    <format dxfId="116">
      <pivotArea dataOnly="0" labelOnly="1" fieldPosition="0">
        <references count="3">
          <reference field="0" count="1" selected="0">
            <x v="2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115">
      <pivotArea collapsedLevelsAreSubtotals="1" fieldPosition="0">
        <references count="1">
          <reference field="6" count="1">
            <x v="0"/>
          </reference>
        </references>
      </pivotArea>
    </format>
    <format dxfId="114">
      <pivotArea collapsedLevelsAreSubtotals="1" fieldPosition="0">
        <references count="2">
          <reference field="0" count="1">
            <x v="2"/>
          </reference>
          <reference field="6" count="1" selected="0">
            <x v="0"/>
          </reference>
        </references>
      </pivotArea>
    </format>
    <format dxfId="113">
      <pivotArea collapsedLevelsAreSubtotals="1" fieldPosition="0">
        <references count="3">
          <reference field="0" count="1" selected="0">
            <x v="2"/>
          </reference>
          <reference field="1" count="1">
            <x v="0"/>
          </reference>
          <reference field="6" count="1" selected="0">
            <x v="0"/>
          </reference>
        </references>
      </pivotArea>
    </format>
    <format dxfId="112">
      <pivotArea dataOnly="0" labelOnly="1" fieldPosition="0">
        <references count="1">
          <reference field="6" count="1">
            <x v="1"/>
          </reference>
        </references>
      </pivotArea>
    </format>
    <format dxfId="111">
      <pivotArea dataOnly="0" labelOnly="1" fieldPosition="0">
        <references count="2">
          <reference field="0" count="1">
            <x v="1"/>
          </reference>
          <reference field="6" count="1" selected="0">
            <x v="1"/>
          </reference>
        </references>
      </pivotArea>
    </format>
    <format dxfId="110">
      <pivotArea dataOnly="0" labelOnly="1" fieldPosition="0">
        <references count="3">
          <reference field="0" count="1" selected="0">
            <x v="1"/>
          </reference>
          <reference field="1" count="1">
            <x v="1"/>
          </reference>
          <reference field="6" count="1" selected="0">
            <x v="1"/>
          </reference>
        </references>
      </pivotArea>
    </format>
    <format dxfId="109">
      <pivotArea dataOnly="0" labelOnly="1" fieldPosition="0">
        <references count="1">
          <reference field="6" count="1">
            <x v="2"/>
          </reference>
        </references>
      </pivotArea>
    </format>
    <format dxfId="108">
      <pivotArea dataOnly="0" labelOnly="1" fieldPosition="0">
        <references count="2">
          <reference field="0" count="1">
            <x v="0"/>
          </reference>
          <reference field="6" count="1" selected="0">
            <x v="2"/>
          </reference>
        </references>
      </pivotArea>
    </format>
    <format dxfId="107">
      <pivotArea dataOnly="0" labelOnly="1" fieldPosition="0">
        <references count="3">
          <reference field="0" count="1" selected="0">
            <x v="0"/>
          </reference>
          <reference field="1" count="1">
            <x v="2"/>
          </reference>
          <reference field="6" count="1" selected="0">
            <x v="2"/>
          </reference>
        </references>
      </pivotArea>
    </format>
    <format dxfId="106">
      <pivotArea collapsedLevelsAreSubtotals="1" fieldPosition="0">
        <references count="1">
          <reference field="6" count="1">
            <x v="1"/>
          </reference>
        </references>
      </pivotArea>
    </format>
    <format dxfId="105">
      <pivotArea collapsedLevelsAreSubtotals="1" fieldPosition="0">
        <references count="2">
          <reference field="0" count="1">
            <x v="1"/>
          </reference>
          <reference field="6" count="1" selected="0">
            <x v="1"/>
          </reference>
        </references>
      </pivotArea>
    </format>
    <format dxfId="104">
      <pivotArea collapsedLevelsAreSubtotals="1" fieldPosition="0">
        <references count="3">
          <reference field="0" count="1" selected="0">
            <x v="1"/>
          </reference>
          <reference field="1" count="1">
            <x v="1"/>
          </reference>
          <reference field="6" count="1" selected="0">
            <x v="1"/>
          </reference>
        </references>
      </pivotArea>
    </format>
    <format dxfId="103">
      <pivotArea collapsedLevelsAreSubtotals="1" fieldPosition="0">
        <references count="1">
          <reference field="6" count="1">
            <x v="2"/>
          </reference>
        </references>
      </pivotArea>
    </format>
    <format dxfId="102">
      <pivotArea collapsedLevelsAreSubtotals="1" fieldPosition="0">
        <references count="2">
          <reference field="0" count="1">
            <x v="0"/>
          </reference>
          <reference field="6" count="1" selected="0">
            <x v="2"/>
          </reference>
        </references>
      </pivotArea>
    </format>
    <format dxfId="101">
      <pivotArea collapsedLevelsAreSubtotals="1" fieldPosition="0">
        <references count="3">
          <reference field="0" count="1" selected="0">
            <x v="0"/>
          </reference>
          <reference field="1" count="1">
            <x v="2"/>
          </reference>
          <reference field="6" count="1" selected="0">
            <x v="2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4" name="Таблица4" displayName="Таблица4" ref="A1:G2" totalsRowShown="0">
  <autoFilter ref="A1:G2"/>
  <tableColumns count="7">
    <tableColumn id="1" name="ФИО, должность, ОУ"/>
    <tableColumn id="2" name="Название работы"/>
    <tableColumn id="3" name="Эксперт 1"/>
    <tableColumn id="4" name="Эксперт 2"/>
    <tableColumn id="5" name="Эксперт 3"/>
    <tableColumn id="6" name="Средний балл"/>
    <tableColumn id="7" name="Место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sqref="A1:G2"/>
    </sheetView>
  </sheetViews>
  <sheetFormatPr defaultRowHeight="15" x14ac:dyDescent="0.25"/>
  <cols>
    <col min="1" max="1" width="22.28515625" customWidth="1"/>
    <col min="2" max="2" width="19" customWidth="1"/>
    <col min="3" max="5" width="11.85546875" customWidth="1"/>
    <col min="6" max="6" width="16.140625" customWidth="1"/>
  </cols>
  <sheetData>
    <row r="1" spans="1:7" x14ac:dyDescent="0.25">
      <c r="A1" t="s">
        <v>1</v>
      </c>
      <c r="B1" t="s">
        <v>2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</row>
    <row r="2" spans="1:7" x14ac:dyDescent="0.25">
      <c r="A2" t="s">
        <v>75</v>
      </c>
      <c r="B2" t="s">
        <v>108</v>
      </c>
      <c r="C2">
        <v>16</v>
      </c>
      <c r="D2">
        <v>17</v>
      </c>
      <c r="E2">
        <v>15</v>
      </c>
      <c r="F2">
        <v>16</v>
      </c>
      <c r="G2" t="s">
        <v>156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80" zoomScaleNormal="80" workbookViewId="0">
      <selection activeCell="B5" sqref="B5"/>
    </sheetView>
  </sheetViews>
  <sheetFormatPr defaultRowHeight="15" x14ac:dyDescent="0.25"/>
  <cols>
    <col min="2" max="2" width="163.140625" customWidth="1"/>
    <col min="3" max="3" width="32.140625" customWidth="1"/>
    <col min="4" max="5" width="4.5703125" customWidth="1"/>
    <col min="6" max="6" width="11.85546875" bestFit="1" customWidth="1"/>
  </cols>
  <sheetData>
    <row r="1" spans="1:7" x14ac:dyDescent="0.25">
      <c r="A1" s="50"/>
      <c r="B1" s="54"/>
      <c r="C1" s="54"/>
      <c r="D1" s="50"/>
      <c r="E1" s="50"/>
      <c r="F1" s="50"/>
      <c r="G1" s="50"/>
    </row>
    <row r="2" spans="1:7" ht="15.75" x14ac:dyDescent="0.3">
      <c r="A2" s="50"/>
      <c r="B2" s="51" t="s">
        <v>164</v>
      </c>
      <c r="C2" s="52"/>
      <c r="D2" s="50"/>
      <c r="E2" s="50"/>
      <c r="F2" s="50"/>
      <c r="G2" s="50"/>
    </row>
    <row r="3" spans="1:7" ht="18.75" x14ac:dyDescent="0.3">
      <c r="A3" s="50"/>
      <c r="B3" s="34" t="s">
        <v>161</v>
      </c>
      <c r="C3" s="34" t="s">
        <v>162</v>
      </c>
      <c r="D3" s="50"/>
      <c r="E3" s="50"/>
      <c r="F3" s="50"/>
      <c r="G3" s="50"/>
    </row>
    <row r="4" spans="1:7" ht="18.75" x14ac:dyDescent="0.3">
      <c r="A4" s="50"/>
      <c r="B4" s="36" t="s">
        <v>158</v>
      </c>
      <c r="C4" s="35">
        <v>14</v>
      </c>
      <c r="D4" s="50"/>
      <c r="E4" s="50"/>
      <c r="F4" s="50"/>
      <c r="G4" s="50"/>
    </row>
    <row r="5" spans="1:7" ht="18.75" x14ac:dyDescent="0.3">
      <c r="A5" s="50"/>
      <c r="B5" s="37" t="s">
        <v>14</v>
      </c>
      <c r="C5" s="39">
        <v>14</v>
      </c>
      <c r="D5" s="50"/>
      <c r="E5" s="50"/>
      <c r="F5" s="50"/>
      <c r="G5" s="50"/>
    </row>
    <row r="6" spans="1:7" ht="18.75" x14ac:dyDescent="0.3">
      <c r="A6" s="50"/>
      <c r="B6" s="41" t="s">
        <v>15</v>
      </c>
      <c r="C6" s="39">
        <v>14</v>
      </c>
      <c r="D6" s="50"/>
      <c r="E6" s="50"/>
      <c r="F6" s="50"/>
      <c r="G6" s="50"/>
    </row>
    <row r="7" spans="1:7" ht="18.75" x14ac:dyDescent="0.3">
      <c r="A7" s="50"/>
      <c r="B7" s="42" t="s">
        <v>159</v>
      </c>
      <c r="C7" s="43">
        <v>13.333333333333334</v>
      </c>
      <c r="D7" s="50"/>
      <c r="E7" s="50"/>
      <c r="F7" s="50"/>
      <c r="G7" s="50"/>
    </row>
    <row r="8" spans="1:7" ht="18.75" x14ac:dyDescent="0.3">
      <c r="A8" s="50"/>
      <c r="B8" s="37" t="s">
        <v>57</v>
      </c>
      <c r="C8" s="39">
        <v>13.333333333333334</v>
      </c>
      <c r="D8" s="50"/>
      <c r="E8" s="50"/>
      <c r="F8" s="50"/>
      <c r="G8" s="50"/>
    </row>
    <row r="9" spans="1:7" ht="18.75" x14ac:dyDescent="0.3">
      <c r="A9" s="50"/>
      <c r="B9" s="41" t="s">
        <v>58</v>
      </c>
      <c r="C9" s="39">
        <v>13.333333333333334</v>
      </c>
      <c r="D9" s="50"/>
      <c r="E9" s="50"/>
      <c r="F9" s="50"/>
      <c r="G9" s="50"/>
    </row>
    <row r="10" spans="1:7" ht="18.75" x14ac:dyDescent="0.3">
      <c r="A10" s="50"/>
      <c r="B10" s="42" t="s">
        <v>160</v>
      </c>
      <c r="C10" s="43">
        <v>13</v>
      </c>
      <c r="D10" s="50"/>
      <c r="E10" s="50"/>
      <c r="F10" s="50"/>
      <c r="G10" s="50"/>
    </row>
    <row r="11" spans="1:7" ht="18.75" x14ac:dyDescent="0.3">
      <c r="A11" s="50"/>
      <c r="B11" s="37" t="s">
        <v>3</v>
      </c>
      <c r="C11" s="39">
        <v>13</v>
      </c>
      <c r="D11" s="50"/>
      <c r="E11" s="50"/>
      <c r="F11" s="50"/>
      <c r="G11" s="50"/>
    </row>
    <row r="12" spans="1:7" ht="18.75" x14ac:dyDescent="0.3">
      <c r="A12" s="50"/>
      <c r="B12" s="38" t="s">
        <v>4</v>
      </c>
      <c r="C12" s="40">
        <v>13</v>
      </c>
      <c r="D12" s="50"/>
      <c r="E12" s="50"/>
      <c r="F12" s="50"/>
      <c r="G12" s="50"/>
    </row>
    <row r="13" spans="1:7" ht="18.75" customHeight="1" x14ac:dyDescent="0.25">
      <c r="A13" s="50"/>
      <c r="B13" s="50"/>
      <c r="C13" s="50"/>
      <c r="D13" s="50"/>
      <c r="E13" s="50"/>
      <c r="F13" s="50"/>
      <c r="G13" s="50"/>
    </row>
    <row r="14" spans="1:7" x14ac:dyDescent="0.25">
      <c r="A14" s="50"/>
      <c r="B14" s="50"/>
      <c r="C14" s="50"/>
      <c r="D14" s="50"/>
      <c r="E14" s="50"/>
      <c r="F14" s="50"/>
      <c r="G14" s="50"/>
    </row>
    <row r="15" spans="1:7" ht="15.75" x14ac:dyDescent="0.3">
      <c r="A15" s="55"/>
      <c r="B15" s="51" t="s">
        <v>165</v>
      </c>
      <c r="C15" s="52"/>
      <c r="D15" s="50"/>
      <c r="E15" s="50"/>
      <c r="F15" s="50"/>
      <c r="G15" s="50"/>
    </row>
    <row r="16" spans="1:7" ht="18.75" x14ac:dyDescent="0.3">
      <c r="A16" s="55"/>
      <c r="B16" s="34" t="s">
        <v>163</v>
      </c>
      <c r="C16" s="34" t="s">
        <v>162</v>
      </c>
      <c r="D16" s="50"/>
      <c r="E16" s="50"/>
      <c r="F16" s="50"/>
      <c r="G16" s="50"/>
    </row>
    <row r="17" spans="1:7" ht="18.75" x14ac:dyDescent="0.3">
      <c r="A17" s="55"/>
      <c r="B17" s="36" t="s">
        <v>158</v>
      </c>
      <c r="C17" s="43">
        <v>16.333333333333332</v>
      </c>
      <c r="D17" s="50"/>
      <c r="E17" s="50"/>
      <c r="F17" s="50"/>
      <c r="G17" s="50"/>
    </row>
    <row r="18" spans="1:7" ht="18.75" x14ac:dyDescent="0.3">
      <c r="A18" s="55"/>
      <c r="B18" s="46" t="s">
        <v>103</v>
      </c>
      <c r="C18" s="44">
        <v>16.333333333333332</v>
      </c>
      <c r="D18" s="50"/>
      <c r="E18" s="50"/>
      <c r="F18" s="50"/>
      <c r="G18" s="50"/>
    </row>
    <row r="19" spans="1:7" ht="18.75" x14ac:dyDescent="0.3">
      <c r="A19" s="55"/>
      <c r="B19" s="38" t="s">
        <v>136</v>
      </c>
      <c r="C19" s="47">
        <v>16.333333333333332</v>
      </c>
      <c r="D19" s="50"/>
      <c r="E19" s="50"/>
      <c r="F19" s="50"/>
      <c r="G19" s="50"/>
    </row>
    <row r="20" spans="1:7" ht="18.75" x14ac:dyDescent="0.3">
      <c r="A20" s="55"/>
      <c r="B20" s="36" t="s">
        <v>159</v>
      </c>
      <c r="C20" s="43">
        <v>16</v>
      </c>
      <c r="D20" s="50"/>
      <c r="E20" s="50"/>
      <c r="F20" s="50"/>
      <c r="G20" s="50"/>
    </row>
    <row r="21" spans="1:7" ht="18.75" x14ac:dyDescent="0.3">
      <c r="A21" s="55"/>
      <c r="B21" s="46" t="s">
        <v>75</v>
      </c>
      <c r="C21" s="44">
        <v>16</v>
      </c>
      <c r="D21" s="50"/>
      <c r="E21" s="50"/>
      <c r="F21" s="50"/>
      <c r="G21" s="50"/>
    </row>
    <row r="22" spans="1:7" ht="18.75" x14ac:dyDescent="0.3">
      <c r="A22" s="55"/>
      <c r="B22" s="38" t="s">
        <v>108</v>
      </c>
      <c r="C22" s="47">
        <v>16</v>
      </c>
      <c r="D22" s="50"/>
      <c r="E22" s="50"/>
      <c r="F22" s="50"/>
      <c r="G22" s="50"/>
    </row>
    <row r="23" spans="1:7" ht="18.75" x14ac:dyDescent="0.3">
      <c r="A23" s="55"/>
      <c r="B23" s="36" t="s">
        <v>160</v>
      </c>
      <c r="C23" s="43">
        <v>14.333333333333334</v>
      </c>
      <c r="D23" s="50"/>
      <c r="E23" s="50"/>
      <c r="F23" s="50"/>
      <c r="G23" s="50"/>
    </row>
    <row r="24" spans="1:7" ht="18.75" x14ac:dyDescent="0.3">
      <c r="A24" s="55"/>
      <c r="B24" s="46" t="s">
        <v>76</v>
      </c>
      <c r="C24" s="44">
        <v>14.333333333333334</v>
      </c>
      <c r="D24" s="50"/>
      <c r="E24" s="50"/>
      <c r="F24" s="50"/>
      <c r="G24" s="50"/>
    </row>
    <row r="25" spans="1:7" ht="18.75" x14ac:dyDescent="0.3">
      <c r="A25" s="55"/>
      <c r="B25" s="38" t="s">
        <v>109</v>
      </c>
      <c r="C25" s="45">
        <v>14.333333333333334</v>
      </c>
      <c r="D25" s="50"/>
      <c r="E25" s="50"/>
      <c r="F25" s="50"/>
      <c r="G25" s="50"/>
    </row>
    <row r="26" spans="1:7" x14ac:dyDescent="0.25">
      <c r="A26" s="55"/>
      <c r="B26" s="53"/>
      <c r="C26" s="53"/>
      <c r="D26" s="50"/>
      <c r="E26" s="50"/>
      <c r="F26" s="50"/>
      <c r="G26" s="50"/>
    </row>
    <row r="27" spans="1:7" x14ac:dyDescent="0.25">
      <c r="A27" s="55"/>
      <c r="B27" s="54"/>
      <c r="C27" s="54"/>
      <c r="D27" s="50"/>
      <c r="E27" s="50"/>
      <c r="F27" s="50"/>
      <c r="G27" s="50"/>
    </row>
    <row r="28" spans="1:7" ht="15.75" x14ac:dyDescent="0.3">
      <c r="A28" s="55"/>
      <c r="B28" s="51" t="s">
        <v>166</v>
      </c>
      <c r="C28" s="52"/>
      <c r="D28" s="50"/>
      <c r="E28" s="50"/>
      <c r="F28" s="50"/>
      <c r="G28" s="50"/>
    </row>
    <row r="29" spans="1:7" ht="18.75" x14ac:dyDescent="0.3">
      <c r="A29" s="55"/>
      <c r="B29" s="34" t="s">
        <v>167</v>
      </c>
      <c r="C29" s="34" t="s">
        <v>162</v>
      </c>
      <c r="D29" s="50"/>
      <c r="E29" s="50"/>
      <c r="F29" s="50"/>
      <c r="G29" s="50"/>
    </row>
    <row r="30" spans="1:7" ht="18.75" x14ac:dyDescent="0.3">
      <c r="A30" s="55"/>
      <c r="B30" s="36" t="s">
        <v>158</v>
      </c>
      <c r="C30" s="43">
        <v>13.333333333333334</v>
      </c>
      <c r="D30" s="50"/>
      <c r="E30" s="50"/>
      <c r="F30" s="50"/>
      <c r="G30" s="50"/>
    </row>
    <row r="31" spans="1:7" ht="18.75" x14ac:dyDescent="0.3">
      <c r="A31" s="55"/>
      <c r="B31" s="46" t="s">
        <v>139</v>
      </c>
      <c r="C31" s="48">
        <v>13.333333333333334</v>
      </c>
      <c r="D31" s="50"/>
      <c r="E31" s="50"/>
      <c r="F31" s="50"/>
      <c r="G31" s="50"/>
    </row>
    <row r="32" spans="1:7" ht="18.75" x14ac:dyDescent="0.3">
      <c r="A32" s="55"/>
      <c r="B32" s="38" t="s">
        <v>146</v>
      </c>
      <c r="C32" s="49">
        <v>13.333333333333334</v>
      </c>
      <c r="D32" s="50"/>
      <c r="E32" s="50"/>
      <c r="F32" s="50"/>
      <c r="G32" s="50"/>
    </row>
    <row r="33" spans="1:7" ht="18.75" x14ac:dyDescent="0.3">
      <c r="A33" s="55"/>
      <c r="B33" s="36" t="s">
        <v>159</v>
      </c>
      <c r="C33" s="43">
        <v>13</v>
      </c>
      <c r="D33" s="50"/>
      <c r="E33" s="50"/>
      <c r="F33" s="50"/>
      <c r="G33" s="50"/>
    </row>
    <row r="34" spans="1:7" ht="18.75" x14ac:dyDescent="0.3">
      <c r="A34" s="55"/>
      <c r="B34" s="46" t="s">
        <v>142</v>
      </c>
      <c r="C34" s="48">
        <v>13</v>
      </c>
      <c r="D34" s="50"/>
      <c r="E34" s="50"/>
      <c r="F34" s="50"/>
      <c r="G34" s="50"/>
    </row>
    <row r="35" spans="1:7" ht="18.75" x14ac:dyDescent="0.3">
      <c r="A35" s="55"/>
      <c r="B35" s="38" t="s">
        <v>149</v>
      </c>
      <c r="C35" s="49">
        <v>13</v>
      </c>
      <c r="D35" s="50"/>
      <c r="E35" s="50"/>
      <c r="F35" s="50"/>
      <c r="G35" s="50"/>
    </row>
    <row r="36" spans="1:7" ht="18.75" x14ac:dyDescent="0.3">
      <c r="A36" s="55"/>
      <c r="B36" s="36" t="s">
        <v>160</v>
      </c>
      <c r="C36" s="43">
        <v>12.666666666666666</v>
      </c>
      <c r="D36" s="50"/>
      <c r="E36" s="50"/>
      <c r="F36" s="50"/>
      <c r="G36" s="50"/>
    </row>
    <row r="37" spans="1:7" ht="18.75" x14ac:dyDescent="0.3">
      <c r="A37" s="55"/>
      <c r="B37" s="46" t="s">
        <v>143</v>
      </c>
      <c r="C37" s="48">
        <v>12.666666666666666</v>
      </c>
      <c r="D37" s="50"/>
      <c r="E37" s="50"/>
      <c r="F37" s="50"/>
      <c r="G37" s="50"/>
    </row>
    <row r="38" spans="1:7" ht="18.75" x14ac:dyDescent="0.3">
      <c r="A38" s="55"/>
      <c r="B38" s="38" t="s">
        <v>150</v>
      </c>
      <c r="C38" s="49">
        <v>12.666666666666666</v>
      </c>
      <c r="D38" s="50"/>
      <c r="E38" s="50"/>
      <c r="F38" s="50"/>
      <c r="G38" s="50"/>
    </row>
    <row r="39" spans="1:7" x14ac:dyDescent="0.25">
      <c r="A39" s="50"/>
      <c r="B39" s="50"/>
      <c r="C39" s="50"/>
      <c r="D39" s="50"/>
      <c r="E39" s="50"/>
      <c r="F39" s="50"/>
      <c r="G39" s="50"/>
    </row>
    <row r="40" spans="1:7" x14ac:dyDescent="0.25">
      <c r="A40" s="50"/>
      <c r="B40" s="50"/>
      <c r="C40" s="50"/>
      <c r="D40" s="50"/>
      <c r="E40" s="50"/>
      <c r="F40" s="50"/>
      <c r="G40" s="50"/>
    </row>
    <row r="41" spans="1:7" x14ac:dyDescent="0.25">
      <c r="A41" s="50"/>
      <c r="B41" s="50"/>
      <c r="C41" s="50"/>
      <c r="D41" s="50"/>
      <c r="E41" s="50"/>
      <c r="F41" s="50"/>
      <c r="G41" s="50"/>
    </row>
  </sheetData>
  <mergeCells count="11">
    <mergeCell ref="D1:G25"/>
    <mergeCell ref="B28:C28"/>
    <mergeCell ref="B26:C27"/>
    <mergeCell ref="D26:G41"/>
    <mergeCell ref="A39:C41"/>
    <mergeCell ref="A15:A38"/>
    <mergeCell ref="B2:C2"/>
    <mergeCell ref="B15:C15"/>
    <mergeCell ref="A13:C14"/>
    <mergeCell ref="A1:A12"/>
    <mergeCell ref="B1:C1"/>
  </mergeCells>
  <pageMargins left="0.7" right="0.7" top="0.75" bottom="0.75" header="0.3" footer="0.3"/>
  <pageSetup paperSize="9" orientation="portrait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zoomScaleNormal="100" workbookViewId="0">
      <selection activeCell="C6" sqref="C6"/>
    </sheetView>
  </sheetViews>
  <sheetFormatPr defaultRowHeight="15.75" x14ac:dyDescent="0.25"/>
  <cols>
    <col min="2" max="2" width="3.28515625" style="7" bestFit="1" customWidth="1"/>
    <col min="3" max="3" width="23.5703125" style="1" bestFit="1" customWidth="1"/>
    <col min="4" max="4" width="30.7109375" style="9" customWidth="1"/>
    <col min="5" max="7" width="11.28515625" style="5" bestFit="1" customWidth="1"/>
    <col min="8" max="8" width="15.42578125" style="26" bestFit="1" customWidth="1"/>
    <col min="9" max="9" width="7.7109375" style="5" bestFit="1" customWidth="1"/>
  </cols>
  <sheetData>
    <row r="1" spans="2:9" x14ac:dyDescent="0.25">
      <c r="B1" s="5"/>
    </row>
    <row r="3" spans="2:9" x14ac:dyDescent="0.25">
      <c r="B3" s="12" t="s">
        <v>0</v>
      </c>
      <c r="C3" s="12" t="s">
        <v>1</v>
      </c>
      <c r="D3" s="13" t="s">
        <v>2</v>
      </c>
      <c r="E3" s="12" t="s">
        <v>47</v>
      </c>
      <c r="F3" s="12" t="s">
        <v>48</v>
      </c>
      <c r="G3" s="12" t="s">
        <v>49</v>
      </c>
      <c r="H3" s="21" t="s">
        <v>50</v>
      </c>
      <c r="I3" s="14" t="s">
        <v>51</v>
      </c>
    </row>
    <row r="4" spans="2:9" ht="110.25" x14ac:dyDescent="0.25">
      <c r="B4" s="6">
        <v>10</v>
      </c>
      <c r="C4" s="27" t="s">
        <v>14</v>
      </c>
      <c r="D4" s="28" t="s">
        <v>15</v>
      </c>
      <c r="E4" s="29">
        <f>1+2+3+2+2+0+1+2</f>
        <v>13</v>
      </c>
      <c r="F4" s="29">
        <f>1+2+4+3+1+1+1+2</f>
        <v>15</v>
      </c>
      <c r="G4" s="29">
        <f>1+1+4+3+1+1+1+2+0</f>
        <v>14</v>
      </c>
      <c r="H4" s="30">
        <f t="shared" ref="H4:H35" si="0">SUM(E4:G4)/3</f>
        <v>14</v>
      </c>
      <c r="I4" s="32" t="s">
        <v>152</v>
      </c>
    </row>
    <row r="5" spans="2:9" ht="110.25" x14ac:dyDescent="0.25">
      <c r="B5" s="6">
        <v>11</v>
      </c>
      <c r="C5" s="27" t="s">
        <v>57</v>
      </c>
      <c r="D5" s="28" t="s">
        <v>58</v>
      </c>
      <c r="E5" s="29">
        <f>1+1+2+2+2+1+1+1</f>
        <v>11</v>
      </c>
      <c r="F5" s="29">
        <f>1+2+4+3+1+1+1+2</f>
        <v>15</v>
      </c>
      <c r="G5" s="29">
        <f>1+2+4+2+1+1+1+2+0</f>
        <v>14</v>
      </c>
      <c r="H5" s="30">
        <f t="shared" si="0"/>
        <v>13.333333333333334</v>
      </c>
      <c r="I5" s="32" t="s">
        <v>153</v>
      </c>
    </row>
    <row r="6" spans="2:9" ht="110.25" x14ac:dyDescent="0.25">
      <c r="B6" s="6">
        <v>1</v>
      </c>
      <c r="C6" s="27" t="s">
        <v>3</v>
      </c>
      <c r="D6" s="28" t="s">
        <v>4</v>
      </c>
      <c r="E6" s="29">
        <f>1+2+4+2+1+0+1+2</f>
        <v>13</v>
      </c>
      <c r="F6" s="29">
        <f>1+2+4+2+1+0+1+2</f>
        <v>13</v>
      </c>
      <c r="G6" s="29">
        <f>1+2+4+2+1+0+1+2+0</f>
        <v>13</v>
      </c>
      <c r="H6" s="30">
        <f t="shared" si="0"/>
        <v>13</v>
      </c>
      <c r="I6" s="32" t="s">
        <v>154</v>
      </c>
    </row>
    <row r="7" spans="2:9" ht="157.5" x14ac:dyDescent="0.25">
      <c r="B7" s="6">
        <v>17</v>
      </c>
      <c r="C7" s="2" t="s">
        <v>62</v>
      </c>
      <c r="D7" s="8" t="s">
        <v>22</v>
      </c>
      <c r="E7" s="10">
        <f>1+1+3+3+1+1+1+2</f>
        <v>13</v>
      </c>
      <c r="F7" s="10">
        <f>1+2+3+2+1+1+1+1</f>
        <v>12</v>
      </c>
      <c r="G7" s="10">
        <f>1+2+3+3+1+0+1+2+0</f>
        <v>13</v>
      </c>
      <c r="H7" s="24">
        <f t="shared" si="0"/>
        <v>12.666666666666666</v>
      </c>
      <c r="I7" s="11"/>
    </row>
    <row r="8" spans="2:9" ht="110.25" x14ac:dyDescent="0.25">
      <c r="B8" s="6">
        <v>16</v>
      </c>
      <c r="C8" s="2" t="s">
        <v>60</v>
      </c>
      <c r="D8" s="8" t="s">
        <v>61</v>
      </c>
      <c r="E8" s="10">
        <f>1+1+1+2+1+1+1+1</f>
        <v>9</v>
      </c>
      <c r="F8" s="10">
        <f>1+2+3+3+1+1+1+2</f>
        <v>14</v>
      </c>
      <c r="G8" s="10">
        <f>1+2+3+3+1+1+1+2+0</f>
        <v>14</v>
      </c>
      <c r="H8" s="24">
        <f t="shared" si="0"/>
        <v>12.333333333333334</v>
      </c>
      <c r="I8" s="11"/>
    </row>
    <row r="9" spans="2:9" ht="157.5" x14ac:dyDescent="0.25">
      <c r="B9" s="6">
        <v>12</v>
      </c>
      <c r="C9" s="2" t="s">
        <v>16</v>
      </c>
      <c r="D9" s="8" t="s">
        <v>17</v>
      </c>
      <c r="E9" s="10">
        <f>1+1+2+2+1+0+1+1</f>
        <v>9</v>
      </c>
      <c r="F9" s="10">
        <f>1+2+3+2+2+0+1+1</f>
        <v>12</v>
      </c>
      <c r="G9" s="10">
        <f>1+2+3+3+1+1+1+2+0</f>
        <v>14</v>
      </c>
      <c r="H9" s="24">
        <f t="shared" si="0"/>
        <v>11.666666666666666</v>
      </c>
      <c r="I9" s="11"/>
    </row>
    <row r="10" spans="2:9" ht="169.5" customHeight="1" x14ac:dyDescent="0.25">
      <c r="B10" s="6">
        <v>30</v>
      </c>
      <c r="C10" s="2" t="s">
        <v>42</v>
      </c>
      <c r="D10" s="8" t="s">
        <v>43</v>
      </c>
      <c r="E10" s="10">
        <f>1+1+2+2+1+0+1+1</f>
        <v>9</v>
      </c>
      <c r="F10" s="10">
        <f>1+1+2+2+2+1+2+1</f>
        <v>12</v>
      </c>
      <c r="G10" s="10">
        <f>1+2+3+3+2+0+1+2+0</f>
        <v>14</v>
      </c>
      <c r="H10" s="24">
        <f t="shared" si="0"/>
        <v>11.666666666666666</v>
      </c>
      <c r="I10" s="11"/>
    </row>
    <row r="11" spans="2:9" ht="141.75" x14ac:dyDescent="0.25">
      <c r="B11" s="6">
        <v>32</v>
      </c>
      <c r="C11" s="2" t="s">
        <v>45</v>
      </c>
      <c r="D11" s="8" t="s">
        <v>46</v>
      </c>
      <c r="E11" s="10">
        <f>1+1+2+2+1+1+1+1</f>
        <v>10</v>
      </c>
      <c r="F11" s="10">
        <f>1+2+2+2+2+1+1+1</f>
        <v>12</v>
      </c>
      <c r="G11" s="10">
        <f>1+2+2+3+0+0+1+2+0</f>
        <v>11</v>
      </c>
      <c r="H11" s="24">
        <f t="shared" si="0"/>
        <v>11</v>
      </c>
      <c r="I11" s="11"/>
    </row>
    <row r="12" spans="2:9" ht="204.75" x14ac:dyDescent="0.25">
      <c r="B12" s="6">
        <v>18</v>
      </c>
      <c r="C12" s="2" t="s">
        <v>23</v>
      </c>
      <c r="D12" s="8" t="s">
        <v>24</v>
      </c>
      <c r="E12" s="10">
        <f>1+1+2+2+1+0+1+1</f>
        <v>9</v>
      </c>
      <c r="F12" s="10">
        <f>1+2+2+2+1+1+1+1</f>
        <v>11</v>
      </c>
      <c r="G12" s="10">
        <f>1+2+2+3+1+0+1+2+0</f>
        <v>12</v>
      </c>
      <c r="H12" s="24">
        <f t="shared" si="0"/>
        <v>10.666666666666666</v>
      </c>
      <c r="I12" s="11"/>
    </row>
    <row r="13" spans="2:9" ht="126" x14ac:dyDescent="0.25">
      <c r="B13" s="6">
        <v>31</v>
      </c>
      <c r="C13" s="2" t="s">
        <v>68</v>
      </c>
      <c r="D13" s="8" t="s">
        <v>44</v>
      </c>
      <c r="E13" s="10">
        <f>1+1+1+1+1+1+1+1</f>
        <v>8</v>
      </c>
      <c r="F13" s="10">
        <f>1+1+2+2+2+1+2+1</f>
        <v>12</v>
      </c>
      <c r="G13" s="10">
        <f>1+2+2+3+0+0+2+1+0</f>
        <v>11</v>
      </c>
      <c r="H13" s="24">
        <f t="shared" si="0"/>
        <v>10.333333333333334</v>
      </c>
      <c r="I13" s="11"/>
    </row>
    <row r="14" spans="2:9" ht="121.5" customHeight="1" x14ac:dyDescent="0.25">
      <c r="B14" s="6">
        <v>24</v>
      </c>
      <c r="C14" s="2" t="s">
        <v>33</v>
      </c>
      <c r="D14" s="8" t="s">
        <v>65</v>
      </c>
      <c r="E14" s="10">
        <f>1+1+2+2+1+0+1+1</f>
        <v>9</v>
      </c>
      <c r="F14" s="10">
        <f>1+1+2+1+1+1+1+1</f>
        <v>9</v>
      </c>
      <c r="G14" s="10">
        <f>1+2+3+1+1+1+1+2+0</f>
        <v>12</v>
      </c>
      <c r="H14" s="24">
        <f t="shared" si="0"/>
        <v>10</v>
      </c>
      <c r="I14" s="11"/>
    </row>
    <row r="15" spans="2:9" ht="157.5" x14ac:dyDescent="0.25">
      <c r="B15" s="6">
        <v>28</v>
      </c>
      <c r="C15" s="3" t="s">
        <v>39</v>
      </c>
      <c r="D15" s="8" t="s">
        <v>40</v>
      </c>
      <c r="E15" s="10">
        <f>1+1+2+2+1+0+1+1</f>
        <v>9</v>
      </c>
      <c r="F15" s="10">
        <f>1+1+2+2+0+1+1+1</f>
        <v>9</v>
      </c>
      <c r="G15" s="10">
        <f>1+2+2+3+1+0+1+2+0</f>
        <v>12</v>
      </c>
      <c r="H15" s="24">
        <f t="shared" si="0"/>
        <v>10</v>
      </c>
      <c r="I15" s="11"/>
    </row>
    <row r="16" spans="2:9" ht="110.25" x14ac:dyDescent="0.25">
      <c r="B16" s="6">
        <v>23</v>
      </c>
      <c r="C16" s="2" t="s">
        <v>31</v>
      </c>
      <c r="D16" s="8" t="s">
        <v>32</v>
      </c>
      <c r="E16" s="10">
        <f>1+1+2+1+1+0+1+1</f>
        <v>8</v>
      </c>
      <c r="F16" s="10">
        <f>1+2+1+1+0+0+1+2</f>
        <v>8</v>
      </c>
      <c r="G16" s="10">
        <f>1+2+3+1+1+1+1+2+0</f>
        <v>12</v>
      </c>
      <c r="H16" s="24">
        <f t="shared" si="0"/>
        <v>9.3333333333333339</v>
      </c>
      <c r="I16" s="11"/>
    </row>
    <row r="17" spans="2:9" ht="236.25" x14ac:dyDescent="0.25">
      <c r="B17" s="6">
        <v>3</v>
      </c>
      <c r="C17" s="2" t="s">
        <v>52</v>
      </c>
      <c r="D17" s="8" t="s">
        <v>7</v>
      </c>
      <c r="E17" s="10">
        <f>1+1+2+2+1+0+1+1</f>
        <v>9</v>
      </c>
      <c r="F17" s="10">
        <f>1+1+1+1+1+1+1+1</f>
        <v>8</v>
      </c>
      <c r="G17" s="10">
        <f>1+2+2+2+0+0+1+2+0</f>
        <v>10</v>
      </c>
      <c r="H17" s="24">
        <f t="shared" si="0"/>
        <v>9</v>
      </c>
      <c r="I17" s="11"/>
    </row>
    <row r="18" spans="2:9" ht="107.25" customHeight="1" x14ac:dyDescent="0.25">
      <c r="B18" s="6">
        <v>21</v>
      </c>
      <c r="C18" s="2" t="s">
        <v>63</v>
      </c>
      <c r="D18" s="8" t="s">
        <v>29</v>
      </c>
      <c r="E18" s="10">
        <f>1+1+2+2+1+1+1+1</f>
        <v>10</v>
      </c>
      <c r="F18" s="10">
        <f>1+1+1+1+1+1+1+1</f>
        <v>8</v>
      </c>
      <c r="G18" s="10">
        <f>1+2+1+1+1+0+1+2+0</f>
        <v>9</v>
      </c>
      <c r="H18" s="24">
        <f t="shared" si="0"/>
        <v>9</v>
      </c>
      <c r="I18" s="11"/>
    </row>
    <row r="19" spans="2:9" ht="94.5" x14ac:dyDescent="0.25">
      <c r="B19" s="6">
        <v>9</v>
      </c>
      <c r="C19" s="2" t="s">
        <v>12</v>
      </c>
      <c r="D19" s="8" t="s">
        <v>13</v>
      </c>
      <c r="E19" s="31">
        <f>1+1+1+1+1+0+1+1</f>
        <v>7</v>
      </c>
      <c r="F19" s="10">
        <f>1+1+2+2+1+0+1+1</f>
        <v>9</v>
      </c>
      <c r="G19" s="10">
        <f>1+2+2+2+0+0+1+2+0</f>
        <v>10</v>
      </c>
      <c r="H19" s="24">
        <f t="shared" si="0"/>
        <v>8.6666666666666661</v>
      </c>
      <c r="I19" s="11"/>
    </row>
    <row r="20" spans="2:9" ht="110.25" x14ac:dyDescent="0.25">
      <c r="B20" s="6">
        <v>19</v>
      </c>
      <c r="C20" s="2" t="s">
        <v>25</v>
      </c>
      <c r="D20" s="8" t="s">
        <v>26</v>
      </c>
      <c r="E20" s="10">
        <f>1+1+2+2+1+0+1+1</f>
        <v>9</v>
      </c>
      <c r="F20" s="10">
        <f>1+1+1+1+1+1+0+1</f>
        <v>7</v>
      </c>
      <c r="G20" s="10">
        <f>1+2+1+2+0+1+1+2+0</f>
        <v>10</v>
      </c>
      <c r="H20" s="24">
        <f t="shared" si="0"/>
        <v>8.6666666666666661</v>
      </c>
      <c r="I20" s="11"/>
    </row>
    <row r="21" spans="2:9" ht="110.25" x14ac:dyDescent="0.25">
      <c r="B21" s="6">
        <v>14</v>
      </c>
      <c r="C21" s="2" t="s">
        <v>19</v>
      </c>
      <c r="D21" s="8" t="s">
        <v>20</v>
      </c>
      <c r="E21" s="10">
        <f>0+1+1+2+1+0+1+1</f>
        <v>7</v>
      </c>
      <c r="F21" s="10">
        <f>1+1+1+1+1+0+1+1</f>
        <v>7</v>
      </c>
      <c r="G21" s="10">
        <f>1+2+2+2+0+1+1+2+0</f>
        <v>11</v>
      </c>
      <c r="H21" s="24">
        <f t="shared" si="0"/>
        <v>8.3333333333333339</v>
      </c>
      <c r="I21" s="11"/>
    </row>
    <row r="22" spans="2:9" ht="110.25" x14ac:dyDescent="0.25">
      <c r="B22" s="6">
        <v>22</v>
      </c>
      <c r="C22" s="2" t="s">
        <v>30</v>
      </c>
      <c r="D22" s="8" t="s">
        <v>64</v>
      </c>
      <c r="E22" s="10">
        <f>1+1+2+1+1+1+1+1</f>
        <v>9</v>
      </c>
      <c r="F22" s="10">
        <f>1+1+1+1+1+1+1+1</f>
        <v>8</v>
      </c>
      <c r="G22" s="10">
        <f>1+2+1+1+0+0+1+2+0</f>
        <v>8</v>
      </c>
      <c r="H22" s="24">
        <f t="shared" si="0"/>
        <v>8.3333333333333339</v>
      </c>
      <c r="I22" s="11"/>
    </row>
    <row r="23" spans="2:9" ht="110.25" x14ac:dyDescent="0.25">
      <c r="B23" s="6">
        <v>29</v>
      </c>
      <c r="C23" s="2" t="s">
        <v>41</v>
      </c>
      <c r="D23" s="8" t="s">
        <v>67</v>
      </c>
      <c r="E23" s="10">
        <f>1+1+2+2+1+1+1+1</f>
        <v>10</v>
      </c>
      <c r="F23" s="10">
        <f>1+1+0+1+1+1+1+1</f>
        <v>7</v>
      </c>
      <c r="G23" s="10">
        <f>1+1+1+1+1+0+1+2+0</f>
        <v>8</v>
      </c>
      <c r="H23" s="24">
        <f t="shared" si="0"/>
        <v>8.3333333333333339</v>
      </c>
      <c r="I23" s="11"/>
    </row>
    <row r="24" spans="2:9" ht="220.5" x14ac:dyDescent="0.25">
      <c r="B24" s="6">
        <v>4</v>
      </c>
      <c r="C24" s="2" t="s">
        <v>53</v>
      </c>
      <c r="D24" s="8" t="s">
        <v>54</v>
      </c>
      <c r="E24" s="10">
        <f>1+1+2+1+1+0+1+1</f>
        <v>8</v>
      </c>
      <c r="F24" s="10">
        <f>1+1+1+1+1+0+1+1</f>
        <v>7</v>
      </c>
      <c r="G24" s="10">
        <f>1+1+2+1+0+0+1+2+0</f>
        <v>8</v>
      </c>
      <c r="H24" s="24">
        <f t="shared" si="0"/>
        <v>7.666666666666667</v>
      </c>
      <c r="I24" s="11"/>
    </row>
    <row r="25" spans="2:9" ht="204.75" x14ac:dyDescent="0.25">
      <c r="B25" s="6">
        <v>8</v>
      </c>
      <c r="C25" s="2" t="s">
        <v>151</v>
      </c>
      <c r="D25" s="8" t="s">
        <v>11</v>
      </c>
      <c r="E25" s="10">
        <f>1+1+1+1+1+0+1+1</f>
        <v>7</v>
      </c>
      <c r="F25" s="10">
        <f>1+1+1+1+1+1+1+1</f>
        <v>8</v>
      </c>
      <c r="G25" s="10">
        <f>1+1+2+1+0+0+1+2+0</f>
        <v>8</v>
      </c>
      <c r="H25" s="24">
        <f t="shared" si="0"/>
        <v>7.666666666666667</v>
      </c>
      <c r="I25" s="11"/>
    </row>
    <row r="26" spans="2:9" ht="110.25" x14ac:dyDescent="0.25">
      <c r="B26" s="6">
        <v>25</v>
      </c>
      <c r="C26" s="2" t="s">
        <v>66</v>
      </c>
      <c r="D26" s="8" t="s">
        <v>34</v>
      </c>
      <c r="E26" s="10">
        <f>1+1+2+1+0+0+1+1</f>
        <v>7</v>
      </c>
      <c r="F26" s="10">
        <f>1+1+2+1+0+0+1+2</f>
        <v>8</v>
      </c>
      <c r="G26" s="10">
        <f>1+1+2+1+0+0+1+2+0</f>
        <v>8</v>
      </c>
      <c r="H26" s="24">
        <f t="shared" si="0"/>
        <v>7.666666666666667</v>
      </c>
      <c r="I26" s="11"/>
    </row>
    <row r="27" spans="2:9" ht="126" x14ac:dyDescent="0.25">
      <c r="B27" s="6">
        <v>27</v>
      </c>
      <c r="C27" s="2" t="s">
        <v>37</v>
      </c>
      <c r="D27" s="8" t="s">
        <v>38</v>
      </c>
      <c r="E27" s="10">
        <f>0+1+2+1+1+0+1+1</f>
        <v>7</v>
      </c>
      <c r="F27" s="10">
        <f>1+1+1+1+0+1+1+1</f>
        <v>7</v>
      </c>
      <c r="G27" s="10">
        <f>1+2+2+1+0+0+1+2+0</f>
        <v>9</v>
      </c>
      <c r="H27" s="24">
        <f t="shared" si="0"/>
        <v>7.666666666666667</v>
      </c>
      <c r="I27" s="11"/>
    </row>
    <row r="28" spans="2:9" ht="110.25" x14ac:dyDescent="0.25">
      <c r="B28" s="6">
        <v>6</v>
      </c>
      <c r="C28" s="2" t="s">
        <v>9</v>
      </c>
      <c r="D28" s="8" t="s">
        <v>56</v>
      </c>
      <c r="E28" s="10">
        <f>1+1+1+1+1+0+1+1</f>
        <v>7</v>
      </c>
      <c r="F28" s="10">
        <f>1+1+1+1+1+0+1+1</f>
        <v>7</v>
      </c>
      <c r="G28" s="10">
        <f>1+1+2+1+0+0+1+2+0</f>
        <v>8</v>
      </c>
      <c r="H28" s="24">
        <f t="shared" si="0"/>
        <v>7.333333333333333</v>
      </c>
      <c r="I28" s="11"/>
    </row>
    <row r="29" spans="2:9" ht="78.75" x14ac:dyDescent="0.25">
      <c r="B29" s="6">
        <v>20</v>
      </c>
      <c r="C29" s="2" t="s">
        <v>27</v>
      </c>
      <c r="D29" s="8" t="s">
        <v>28</v>
      </c>
      <c r="E29" s="10">
        <f>0+1+2+1+1+0+1+1</f>
        <v>7</v>
      </c>
      <c r="F29" s="10">
        <f>1+1+1+1+1+1+0+1</f>
        <v>7</v>
      </c>
      <c r="G29" s="10">
        <f>1+1+2+1+0+0+1+2+0</f>
        <v>8</v>
      </c>
      <c r="H29" s="24">
        <f t="shared" si="0"/>
        <v>7.333333333333333</v>
      </c>
      <c r="I29" s="11"/>
    </row>
    <row r="30" spans="2:9" ht="110.25" x14ac:dyDescent="0.25">
      <c r="B30" s="6">
        <v>13</v>
      </c>
      <c r="C30" s="2" t="s">
        <v>69</v>
      </c>
      <c r="D30" s="8" t="s">
        <v>18</v>
      </c>
      <c r="E30" s="10">
        <f>0+1+1+1+1+0+1+2</f>
        <v>7</v>
      </c>
      <c r="F30" s="10">
        <f>1+2+1+1+1+0+0+1</f>
        <v>7</v>
      </c>
      <c r="G30" s="10">
        <f>1+1+1+1+0+0+1+2+0</f>
        <v>7</v>
      </c>
      <c r="H30" s="24">
        <f t="shared" si="0"/>
        <v>7</v>
      </c>
      <c r="I30" s="11"/>
    </row>
    <row r="31" spans="2:9" ht="110.25" x14ac:dyDescent="0.25">
      <c r="B31" s="6">
        <v>15</v>
      </c>
      <c r="C31" s="2" t="s">
        <v>21</v>
      </c>
      <c r="D31" s="8" t="s">
        <v>59</v>
      </c>
      <c r="E31" s="10">
        <f>0+1+1+1+1+0+1+1</f>
        <v>6</v>
      </c>
      <c r="F31" s="10">
        <f>1+1+1+1+1+0+1+1</f>
        <v>7</v>
      </c>
      <c r="G31" s="10">
        <f>1+1+2+1+0+0+1+2+0</f>
        <v>8</v>
      </c>
      <c r="H31" s="24">
        <f t="shared" si="0"/>
        <v>7</v>
      </c>
      <c r="I31" s="11"/>
    </row>
    <row r="32" spans="2:9" ht="110.25" x14ac:dyDescent="0.25">
      <c r="B32" s="6">
        <v>2</v>
      </c>
      <c r="C32" s="2" t="s">
        <v>5</v>
      </c>
      <c r="D32" s="8" t="s">
        <v>6</v>
      </c>
      <c r="E32" s="10">
        <f>0+2+2+1+1+0+1+1</f>
        <v>8</v>
      </c>
      <c r="F32" s="10">
        <f>1+1+2+1+0+0+0+1</f>
        <v>6</v>
      </c>
      <c r="G32" s="10">
        <f>0+1+1+1+0+0+1+2+0</f>
        <v>6</v>
      </c>
      <c r="H32" s="24">
        <f t="shared" si="0"/>
        <v>6.666666666666667</v>
      </c>
      <c r="I32" s="11"/>
    </row>
    <row r="33" spans="2:9" ht="110.25" x14ac:dyDescent="0.25">
      <c r="B33" s="6">
        <v>5</v>
      </c>
      <c r="C33" s="2" t="s">
        <v>55</v>
      </c>
      <c r="D33" s="8" t="s">
        <v>8</v>
      </c>
      <c r="E33" s="10">
        <f>0+1+1+1+1+0+1+1</f>
        <v>6</v>
      </c>
      <c r="F33" s="10">
        <f>1+1+1+1+1+0+1+1</f>
        <v>7</v>
      </c>
      <c r="G33" s="10">
        <f>1+1+1+1+0+0+1+2+0</f>
        <v>7</v>
      </c>
      <c r="H33" s="24">
        <f t="shared" si="0"/>
        <v>6.666666666666667</v>
      </c>
      <c r="I33" s="10"/>
    </row>
    <row r="34" spans="2:9" ht="110.25" x14ac:dyDescent="0.25">
      <c r="B34" s="6">
        <v>7</v>
      </c>
      <c r="C34" s="2" t="s">
        <v>10</v>
      </c>
      <c r="D34" s="8" t="s">
        <v>70</v>
      </c>
      <c r="E34" s="10">
        <f>0+1+1+1+1+0+1+1</f>
        <v>6</v>
      </c>
      <c r="F34" s="10">
        <f>1+1+1+1+1+0+1+1</f>
        <v>7</v>
      </c>
      <c r="G34" s="10">
        <f>1+1+1+1+0+0+1+2+0</f>
        <v>7</v>
      </c>
      <c r="H34" s="24">
        <f t="shared" si="0"/>
        <v>6.666666666666667</v>
      </c>
      <c r="I34" s="10"/>
    </row>
    <row r="35" spans="2:9" ht="110.25" x14ac:dyDescent="0.25">
      <c r="B35" s="6">
        <v>26</v>
      </c>
      <c r="C35" s="2" t="s">
        <v>35</v>
      </c>
      <c r="D35" s="8" t="s">
        <v>36</v>
      </c>
      <c r="E35" s="10">
        <f>0+1+2+1+1+0+1+1</f>
        <v>7</v>
      </c>
      <c r="F35" s="10">
        <f>1+1+1+1+0+0+1+1</f>
        <v>6</v>
      </c>
      <c r="G35" s="10">
        <f>1+1+1+1+0+0+1+2+0</f>
        <v>7</v>
      </c>
      <c r="H35" s="24">
        <f t="shared" si="0"/>
        <v>6.666666666666667</v>
      </c>
      <c r="I35" s="10"/>
    </row>
    <row r="36" spans="2:9" x14ac:dyDescent="0.25">
      <c r="C36" s="4"/>
    </row>
  </sheetData>
  <autoFilter ref="B3:I35">
    <sortState ref="B4:I35">
      <sortCondition descending="1" ref="H3:H35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workbookViewId="0">
      <selection activeCell="C6" sqref="C6"/>
    </sheetView>
  </sheetViews>
  <sheetFormatPr defaultRowHeight="15.75" x14ac:dyDescent="0.25"/>
  <cols>
    <col min="2" max="2" width="7.85546875" style="7" bestFit="1" customWidth="1"/>
    <col min="3" max="3" width="23.5703125" style="1" bestFit="1" customWidth="1"/>
    <col min="4" max="4" width="23.85546875" style="9" bestFit="1" customWidth="1"/>
    <col min="5" max="7" width="15.85546875" style="5" bestFit="1" customWidth="1"/>
    <col min="8" max="8" width="20" style="26" bestFit="1" customWidth="1"/>
    <col min="9" max="9" width="12.28515625" style="5" bestFit="1" customWidth="1"/>
  </cols>
  <sheetData>
    <row r="1" spans="2:9" x14ac:dyDescent="0.25">
      <c r="B1" s="5"/>
    </row>
    <row r="3" spans="2:9" x14ac:dyDescent="0.25">
      <c r="B3" s="12" t="s">
        <v>0</v>
      </c>
      <c r="C3" s="12" t="s">
        <v>1</v>
      </c>
      <c r="D3" s="13" t="s">
        <v>2</v>
      </c>
      <c r="E3" s="12" t="s">
        <v>47</v>
      </c>
      <c r="F3" s="12" t="s">
        <v>48</v>
      </c>
      <c r="G3" s="12" t="s">
        <v>49</v>
      </c>
      <c r="H3" s="22" t="s">
        <v>50</v>
      </c>
      <c r="I3" s="14" t="s">
        <v>51</v>
      </c>
    </row>
    <row r="4" spans="2:9" ht="236.25" x14ac:dyDescent="0.25">
      <c r="B4" s="29">
        <v>33</v>
      </c>
      <c r="C4" s="27" t="s">
        <v>103</v>
      </c>
      <c r="D4" s="28" t="s">
        <v>136</v>
      </c>
      <c r="E4" s="29">
        <f>1+2+5+3+1+1+1+2+1</f>
        <v>17</v>
      </c>
      <c r="F4" s="29">
        <f>1+2+4+3+1+1+1+2+0</f>
        <v>15</v>
      </c>
      <c r="G4" s="29">
        <f>1+2+5+3+1+1+1+2+1</f>
        <v>17</v>
      </c>
      <c r="H4" s="30">
        <f t="shared" ref="H4:H36" si="0">SUM(E4:G4)/3</f>
        <v>16.333333333333332</v>
      </c>
      <c r="I4" s="32" t="s">
        <v>155</v>
      </c>
    </row>
    <row r="5" spans="2:9" ht="189" x14ac:dyDescent="0.25">
      <c r="B5" s="33">
        <v>5</v>
      </c>
      <c r="C5" s="27" t="s">
        <v>75</v>
      </c>
      <c r="D5" s="28" t="s">
        <v>108</v>
      </c>
      <c r="E5" s="29">
        <f>1+2+4+3+1+1+1+2+1</f>
        <v>16</v>
      </c>
      <c r="F5" s="29">
        <f>1+2+5+3+1+1+1+2+1</f>
        <v>17</v>
      </c>
      <c r="G5" s="29">
        <f>1+2+5+3+1+1+1+1</f>
        <v>15</v>
      </c>
      <c r="H5" s="30">
        <f t="shared" si="0"/>
        <v>16</v>
      </c>
      <c r="I5" s="32" t="s">
        <v>156</v>
      </c>
    </row>
    <row r="6" spans="2:9" ht="94.5" x14ac:dyDescent="0.25">
      <c r="B6" s="33">
        <v>6</v>
      </c>
      <c r="C6" s="27" t="s">
        <v>76</v>
      </c>
      <c r="D6" s="28" t="s">
        <v>109</v>
      </c>
      <c r="E6" s="29">
        <f>1+2+3+3+1+0+1+2+1</f>
        <v>14</v>
      </c>
      <c r="F6" s="29">
        <f>1+2+4+2+1+0+1+2+1</f>
        <v>14</v>
      </c>
      <c r="G6" s="29">
        <f>1+2+5+3+1+1+1+1</f>
        <v>15</v>
      </c>
      <c r="H6" s="30">
        <f t="shared" si="0"/>
        <v>14.333333333333334</v>
      </c>
      <c r="I6" s="32" t="s">
        <v>157</v>
      </c>
    </row>
    <row r="7" spans="2:9" ht="110.25" x14ac:dyDescent="0.25">
      <c r="B7" s="6">
        <v>31</v>
      </c>
      <c r="C7" s="2" t="s">
        <v>101</v>
      </c>
      <c r="D7" s="8" t="s">
        <v>134</v>
      </c>
      <c r="E7" s="10">
        <f>1+2+4+3+1+1+1+1+0</f>
        <v>14</v>
      </c>
      <c r="F7" s="10">
        <f>1+2+4+3+1+1+1+2+1</f>
        <v>16</v>
      </c>
      <c r="G7" s="10">
        <f>1+4+2+1+1+1+1+2</f>
        <v>13</v>
      </c>
      <c r="H7" s="24">
        <f t="shared" si="0"/>
        <v>14.333333333333334</v>
      </c>
      <c r="I7" s="11"/>
    </row>
    <row r="8" spans="2:9" ht="126" x14ac:dyDescent="0.25">
      <c r="B8" s="6">
        <v>21</v>
      </c>
      <c r="C8" s="2" t="s">
        <v>91</v>
      </c>
      <c r="D8" s="8" t="s">
        <v>124</v>
      </c>
      <c r="E8" s="10">
        <f>1+2+5+3+1+0+1+2+1</f>
        <v>16</v>
      </c>
      <c r="F8" s="10">
        <f>1+2+4+2+1+0+1+2+0</f>
        <v>13</v>
      </c>
      <c r="G8" s="10">
        <f>1+2+3+1+1+1+1+1</f>
        <v>11</v>
      </c>
      <c r="H8" s="24">
        <f t="shared" si="0"/>
        <v>13.333333333333334</v>
      </c>
      <c r="I8" s="11"/>
    </row>
    <row r="9" spans="2:9" ht="126" x14ac:dyDescent="0.25">
      <c r="B9" s="6">
        <v>2</v>
      </c>
      <c r="C9" s="2" t="s">
        <v>72</v>
      </c>
      <c r="D9" s="8" t="s">
        <v>105</v>
      </c>
      <c r="E9" s="10">
        <f>1+2+4+3+1+0+0+1+0</f>
        <v>12</v>
      </c>
      <c r="F9" s="10">
        <f>1+1+3+1+1+1+1+2</f>
        <v>11</v>
      </c>
      <c r="G9" s="10">
        <f>1+2+5+3+1+1+1+1</f>
        <v>15</v>
      </c>
      <c r="H9" s="24">
        <f t="shared" si="0"/>
        <v>12.666666666666666</v>
      </c>
      <c r="I9" s="11"/>
    </row>
    <row r="10" spans="2:9" ht="126" x14ac:dyDescent="0.25">
      <c r="B10" s="6">
        <v>19</v>
      </c>
      <c r="C10" s="2" t="s">
        <v>89</v>
      </c>
      <c r="D10" s="8" t="s">
        <v>122</v>
      </c>
      <c r="E10" s="10">
        <f>1+2+5+2+1+0+0+2+0</f>
        <v>13</v>
      </c>
      <c r="F10" s="10">
        <f>1+2+4+1+1+0+1+2+0</f>
        <v>12</v>
      </c>
      <c r="G10" s="10">
        <f>1+2+4+2+1+1+1+1</f>
        <v>13</v>
      </c>
      <c r="H10" s="24">
        <f t="shared" si="0"/>
        <v>12.666666666666666</v>
      </c>
      <c r="I10" s="11"/>
    </row>
    <row r="11" spans="2:9" ht="204.75" x14ac:dyDescent="0.25">
      <c r="B11" s="6">
        <v>9</v>
      </c>
      <c r="C11" s="2" t="s">
        <v>79</v>
      </c>
      <c r="D11" s="8" t="s">
        <v>112</v>
      </c>
      <c r="E11" s="8">
        <f>1+2+5+3+1+0+0+2+1</f>
        <v>15</v>
      </c>
      <c r="F11" s="10">
        <f>1+2+3+1+1+1+1+2+0</f>
        <v>12</v>
      </c>
      <c r="G11" s="10">
        <f>1+2+1+1+1+1+1+1</f>
        <v>9</v>
      </c>
      <c r="H11" s="24">
        <f t="shared" si="0"/>
        <v>12</v>
      </c>
      <c r="I11" s="11"/>
    </row>
    <row r="12" spans="2:9" ht="141.75" x14ac:dyDescent="0.25">
      <c r="B12" s="6">
        <v>10</v>
      </c>
      <c r="C12" s="2" t="s">
        <v>80</v>
      </c>
      <c r="D12" s="8" t="s">
        <v>113</v>
      </c>
      <c r="E12" s="10">
        <f>1+2+4+3+1+0+1+2+1</f>
        <v>15</v>
      </c>
      <c r="F12" s="10">
        <f>1+2+4+2+1+0+1+2+0</f>
        <v>13</v>
      </c>
      <c r="G12" s="10">
        <f>1+1+1+1+1+1+1+1</f>
        <v>8</v>
      </c>
      <c r="H12" s="24">
        <f t="shared" si="0"/>
        <v>12</v>
      </c>
      <c r="I12" s="11"/>
    </row>
    <row r="13" spans="2:9" ht="110.25" x14ac:dyDescent="0.25">
      <c r="B13" s="6">
        <v>14</v>
      </c>
      <c r="C13" s="2" t="s">
        <v>84</v>
      </c>
      <c r="D13" s="8" t="s">
        <v>117</v>
      </c>
      <c r="E13" s="10">
        <f>1+2+1+1+1+1+1+1+0</f>
        <v>9</v>
      </c>
      <c r="F13" s="10">
        <f>1+2+4+3+1+0+1+2+1</f>
        <v>15</v>
      </c>
      <c r="G13" s="10">
        <f>1+2+3+2+1+1+1+1</f>
        <v>12</v>
      </c>
      <c r="H13" s="24">
        <f t="shared" si="0"/>
        <v>12</v>
      </c>
      <c r="I13" s="11"/>
    </row>
    <row r="14" spans="2:9" ht="126" x14ac:dyDescent="0.25">
      <c r="B14" s="6">
        <v>22</v>
      </c>
      <c r="C14" s="2" t="s">
        <v>92</v>
      </c>
      <c r="D14" s="8" t="s">
        <v>125</v>
      </c>
      <c r="E14" s="10">
        <f>1+2+4+3+1+1+1+1+0</f>
        <v>14</v>
      </c>
      <c r="F14" s="10">
        <f>1+2+4+2+1+1+1+2</f>
        <v>14</v>
      </c>
      <c r="G14" s="10">
        <f>1+1+1+1+1+1+1+1</f>
        <v>8</v>
      </c>
      <c r="H14" s="24">
        <f t="shared" si="0"/>
        <v>12</v>
      </c>
      <c r="I14" s="11"/>
    </row>
    <row r="15" spans="2:9" ht="126" x14ac:dyDescent="0.25">
      <c r="B15" s="6">
        <v>29</v>
      </c>
      <c r="C15" s="2" t="s">
        <v>99</v>
      </c>
      <c r="D15" s="8" t="s">
        <v>132</v>
      </c>
      <c r="E15" s="10">
        <f>1+2+3+1+1+0+1+2+0</f>
        <v>11</v>
      </c>
      <c r="F15" s="10">
        <f>1+1+3+2+1+1+1+2+0</f>
        <v>12</v>
      </c>
      <c r="G15" s="10">
        <f>1+3+2+1+1+1+1+2</f>
        <v>12</v>
      </c>
      <c r="H15" s="24">
        <f t="shared" si="0"/>
        <v>11.666666666666666</v>
      </c>
      <c r="I15" s="11"/>
    </row>
    <row r="16" spans="2:9" ht="126" x14ac:dyDescent="0.25">
      <c r="B16" s="6">
        <v>16</v>
      </c>
      <c r="C16" s="2" t="s">
        <v>86</v>
      </c>
      <c r="D16" s="8" t="s">
        <v>119</v>
      </c>
      <c r="E16" s="10">
        <f>1+2+3+2+1+1+1+2+0</f>
        <v>13</v>
      </c>
      <c r="F16" s="10">
        <f>1+2+3+2+1+1+1+2</f>
        <v>13</v>
      </c>
      <c r="G16" s="10">
        <f>1+1+1+1+1+1+1+1</f>
        <v>8</v>
      </c>
      <c r="H16" s="24">
        <f t="shared" si="0"/>
        <v>11.333333333333334</v>
      </c>
      <c r="I16" s="11"/>
    </row>
    <row r="17" spans="2:9" ht="283.5" x14ac:dyDescent="0.25">
      <c r="B17" s="6">
        <v>13</v>
      </c>
      <c r="C17" s="2" t="s">
        <v>83</v>
      </c>
      <c r="D17" s="8" t="s">
        <v>116</v>
      </c>
      <c r="E17" s="10">
        <f>1+2+3+3+1+1+0+2+0</f>
        <v>13</v>
      </c>
      <c r="F17" s="10">
        <f>1+1+1+1+0+0+1+0+0</f>
        <v>5</v>
      </c>
      <c r="G17" s="10">
        <f>1+2+5+2+1+1+1+1</f>
        <v>14</v>
      </c>
      <c r="H17" s="24">
        <f t="shared" si="0"/>
        <v>10.666666666666666</v>
      </c>
      <c r="I17" s="11"/>
    </row>
    <row r="18" spans="2:9" ht="204.75" x14ac:dyDescent="0.25">
      <c r="B18" s="6">
        <v>24</v>
      </c>
      <c r="C18" s="2" t="s">
        <v>94</v>
      </c>
      <c r="D18" s="8" t="s">
        <v>127</v>
      </c>
      <c r="E18" s="10">
        <f>1+1+2+1+0+0+1+1+0</f>
        <v>7</v>
      </c>
      <c r="F18" s="10">
        <f>1+2+4+2+0+0+1+2+1</f>
        <v>13</v>
      </c>
      <c r="G18" s="10">
        <f>1+2+2+2+1+1+1+2</f>
        <v>12</v>
      </c>
      <c r="H18" s="24">
        <f t="shared" si="0"/>
        <v>10.666666666666666</v>
      </c>
      <c r="I18" s="11"/>
    </row>
    <row r="19" spans="2:9" ht="110.25" x14ac:dyDescent="0.25">
      <c r="B19" s="6">
        <v>8</v>
      </c>
      <c r="C19" s="2" t="s">
        <v>78</v>
      </c>
      <c r="D19" s="8" t="s">
        <v>111</v>
      </c>
      <c r="E19" s="10">
        <f>1+2+2+1+1+0+1+2+0</f>
        <v>10</v>
      </c>
      <c r="F19" s="10">
        <f>1+2+4+2+1+0+1+2+0</f>
        <v>13</v>
      </c>
      <c r="G19" s="10">
        <f>1+1+1+1+1+1+1+1</f>
        <v>8</v>
      </c>
      <c r="H19" s="24">
        <f t="shared" si="0"/>
        <v>10.333333333333334</v>
      </c>
      <c r="I19" s="11"/>
    </row>
    <row r="20" spans="2:9" ht="252" x14ac:dyDescent="0.25">
      <c r="B20" s="6">
        <v>15</v>
      </c>
      <c r="C20" s="2" t="s">
        <v>85</v>
      </c>
      <c r="D20" s="8" t="s">
        <v>118</v>
      </c>
      <c r="E20" s="10">
        <f>1+1+2+2+1+1+1+2+0</f>
        <v>11</v>
      </c>
      <c r="F20" s="10">
        <f>1+1+2+2+1+1+1+2</f>
        <v>11</v>
      </c>
      <c r="G20" s="10">
        <f>1+1+1+1+1+1+1+1</f>
        <v>8</v>
      </c>
      <c r="H20" s="24">
        <f t="shared" si="0"/>
        <v>10</v>
      </c>
      <c r="I20" s="11"/>
    </row>
    <row r="21" spans="2:9" ht="110.25" x14ac:dyDescent="0.25">
      <c r="B21" s="6">
        <v>12</v>
      </c>
      <c r="C21" s="2" t="s">
        <v>82</v>
      </c>
      <c r="D21" s="8" t="s">
        <v>115</v>
      </c>
      <c r="E21" s="10">
        <f>1+2+1+1+1+0+1+1+0</f>
        <v>8</v>
      </c>
      <c r="F21" s="10">
        <f>1+2+3+2+0+1+1+2+0</f>
        <v>12</v>
      </c>
      <c r="G21" s="10">
        <f>1+1+1+1+1+1+1+1</f>
        <v>8</v>
      </c>
      <c r="H21" s="24">
        <f t="shared" si="0"/>
        <v>9.3333333333333339</v>
      </c>
      <c r="I21" s="11"/>
    </row>
    <row r="22" spans="2:9" ht="126" x14ac:dyDescent="0.25">
      <c r="B22" s="6">
        <v>23</v>
      </c>
      <c r="C22" s="2" t="s">
        <v>93</v>
      </c>
      <c r="D22" s="8" t="s">
        <v>126</v>
      </c>
      <c r="E22" s="10">
        <f>1+1+2+1+0+1+1+2+0</f>
        <v>9</v>
      </c>
      <c r="F22" s="10">
        <f>1+1+1+0+0+0+1+0+0</f>
        <v>4</v>
      </c>
      <c r="G22" s="10">
        <f>1+2+4+2+1+1+1+2</f>
        <v>14</v>
      </c>
      <c r="H22" s="24">
        <f t="shared" si="0"/>
        <v>9</v>
      </c>
      <c r="I22" s="11"/>
    </row>
    <row r="23" spans="2:9" ht="126" x14ac:dyDescent="0.25">
      <c r="B23" s="6">
        <v>4</v>
      </c>
      <c r="C23" s="2" t="s">
        <v>74</v>
      </c>
      <c r="D23" s="8" t="s">
        <v>107</v>
      </c>
      <c r="E23" s="10">
        <f>1+1+1+1+1+1+1+1+1</f>
        <v>9</v>
      </c>
      <c r="F23" s="10">
        <f>1+1+1+1+1+1+1+2+0</f>
        <v>9</v>
      </c>
      <c r="G23" s="10">
        <f>1+1+1+1+1+1+1+1</f>
        <v>8</v>
      </c>
      <c r="H23" s="24">
        <f t="shared" si="0"/>
        <v>8.6666666666666661</v>
      </c>
      <c r="I23" s="11"/>
    </row>
    <row r="24" spans="2:9" ht="189" x14ac:dyDescent="0.25">
      <c r="B24" s="6">
        <v>3</v>
      </c>
      <c r="C24" s="2" t="s">
        <v>73</v>
      </c>
      <c r="D24" s="8" t="s">
        <v>106</v>
      </c>
      <c r="E24" s="10">
        <f>1+2+1+1+0+0+1+2+0</f>
        <v>8</v>
      </c>
      <c r="F24" s="10">
        <f>1+1+0+0+0+0+1+0+0</f>
        <v>3</v>
      </c>
      <c r="G24" s="10">
        <f>1+2+3+2+1+1+1+1</f>
        <v>12</v>
      </c>
      <c r="H24" s="24">
        <f t="shared" si="0"/>
        <v>7.666666666666667</v>
      </c>
      <c r="I24" s="11"/>
    </row>
    <row r="25" spans="2:9" ht="110.25" x14ac:dyDescent="0.25">
      <c r="B25" s="6">
        <v>7</v>
      </c>
      <c r="C25" s="2" t="s">
        <v>77</v>
      </c>
      <c r="D25" s="8" t="s">
        <v>110</v>
      </c>
      <c r="E25" s="10">
        <f>1+1+1+1+1+1+1+1+0</f>
        <v>8</v>
      </c>
      <c r="F25" s="10">
        <f>1+1+1+0+0+1+1+2+0</f>
        <v>7</v>
      </c>
      <c r="G25" s="10">
        <f>1+1+1+1+1+1+1+1</f>
        <v>8</v>
      </c>
      <c r="H25" s="24">
        <f t="shared" si="0"/>
        <v>7.666666666666667</v>
      </c>
      <c r="I25" s="11"/>
    </row>
    <row r="26" spans="2:9" ht="94.5" x14ac:dyDescent="0.25">
      <c r="B26" s="6">
        <v>32</v>
      </c>
      <c r="C26" s="2" t="s">
        <v>102</v>
      </c>
      <c r="D26" s="8" t="s">
        <v>135</v>
      </c>
      <c r="E26" s="10">
        <f>1+2+2+1+1+0+1+1+0</f>
        <v>9</v>
      </c>
      <c r="F26" s="10">
        <f>1+1+0+0+0+0+1+0+0</f>
        <v>3</v>
      </c>
      <c r="G26" s="10">
        <f>1+2+2+1+1+1+1+2</f>
        <v>11</v>
      </c>
      <c r="H26" s="24">
        <f t="shared" si="0"/>
        <v>7.666666666666667</v>
      </c>
      <c r="I26" s="11"/>
    </row>
    <row r="27" spans="2:9" ht="204.75" x14ac:dyDescent="0.25">
      <c r="B27" s="6">
        <v>1</v>
      </c>
      <c r="C27" s="2" t="s">
        <v>71</v>
      </c>
      <c r="D27" s="8" t="s">
        <v>104</v>
      </c>
      <c r="E27" s="10">
        <f>1+1+1+1+0+0+1+2+0</f>
        <v>7</v>
      </c>
      <c r="F27" s="10">
        <f>1+1+0+0+0+0+1+0+0</f>
        <v>3</v>
      </c>
      <c r="G27" s="10">
        <f>1+2+3+1+1+1+1+1</f>
        <v>11</v>
      </c>
      <c r="H27" s="24">
        <f t="shared" si="0"/>
        <v>7</v>
      </c>
      <c r="I27" s="11"/>
    </row>
    <row r="28" spans="2:9" ht="94.5" x14ac:dyDescent="0.25">
      <c r="B28" s="6">
        <v>11</v>
      </c>
      <c r="C28" s="2" t="s">
        <v>81</v>
      </c>
      <c r="D28" s="8" t="s">
        <v>114</v>
      </c>
      <c r="E28" s="10">
        <f>1+1+1+1+0+0+1+1+0</f>
        <v>6</v>
      </c>
      <c r="F28" s="10">
        <f>1+1+0+0+0+0+1+0+0</f>
        <v>3</v>
      </c>
      <c r="G28" s="10">
        <f>1+2+3+2+1+1+1+1</f>
        <v>12</v>
      </c>
      <c r="H28" s="24">
        <f t="shared" si="0"/>
        <v>7</v>
      </c>
      <c r="I28" s="11"/>
    </row>
    <row r="29" spans="2:9" ht="141.75" x14ac:dyDescent="0.25">
      <c r="B29" s="6">
        <v>17</v>
      </c>
      <c r="C29" s="2" t="s">
        <v>87</v>
      </c>
      <c r="D29" s="8" t="s">
        <v>120</v>
      </c>
      <c r="E29" s="19">
        <f>1+1+2+1+1+0+1+1+0</f>
        <v>8</v>
      </c>
      <c r="F29" s="10">
        <f>1+1+0+0+0+0+1+0+0</f>
        <v>3</v>
      </c>
      <c r="G29" s="10">
        <f>1+2+2+1+1+1+1+1</f>
        <v>10</v>
      </c>
      <c r="H29" s="24">
        <f t="shared" si="0"/>
        <v>7</v>
      </c>
      <c r="I29" s="11"/>
    </row>
    <row r="30" spans="2:9" ht="189" x14ac:dyDescent="0.25">
      <c r="B30" s="6">
        <v>20</v>
      </c>
      <c r="C30" s="2" t="s">
        <v>90</v>
      </c>
      <c r="D30" s="8" t="s">
        <v>123</v>
      </c>
      <c r="E30" s="10">
        <f>0+1+1+1+1+1+1+1+0</f>
        <v>7</v>
      </c>
      <c r="F30" s="10">
        <f>1+1+1+1+0+0+1+0+0</f>
        <v>5</v>
      </c>
      <c r="G30" s="10">
        <f>1+2+1+1+1+1+1+1</f>
        <v>9</v>
      </c>
      <c r="H30" s="24">
        <f t="shared" si="0"/>
        <v>7</v>
      </c>
      <c r="I30" s="11"/>
    </row>
    <row r="31" spans="2:9" ht="126" x14ac:dyDescent="0.25">
      <c r="B31" s="6">
        <v>26</v>
      </c>
      <c r="C31" s="2" t="s">
        <v>96</v>
      </c>
      <c r="D31" s="8" t="s">
        <v>129</v>
      </c>
      <c r="E31" s="10">
        <f>1+1+1+1+1+0+1+1+0</f>
        <v>7</v>
      </c>
      <c r="F31" s="10">
        <f t="shared" ref="F31:F36" si="1">1+1+0+0+0+0+1+0+0</f>
        <v>3</v>
      </c>
      <c r="G31" s="10">
        <f>1+3+2+1+1+1+1+1</f>
        <v>11</v>
      </c>
      <c r="H31" s="24">
        <f t="shared" si="0"/>
        <v>7</v>
      </c>
      <c r="I31" s="11"/>
    </row>
    <row r="32" spans="2:9" ht="157.5" x14ac:dyDescent="0.25">
      <c r="B32" s="6">
        <v>25</v>
      </c>
      <c r="C32" s="2" t="s">
        <v>95</v>
      </c>
      <c r="D32" s="8" t="s">
        <v>128</v>
      </c>
      <c r="E32" s="10">
        <f>0+0+1+0+0+1+1+2+0</f>
        <v>5</v>
      </c>
      <c r="F32" s="10">
        <f t="shared" si="1"/>
        <v>3</v>
      </c>
      <c r="G32" s="10">
        <f>1+2+2+2+1+1+1+2</f>
        <v>12</v>
      </c>
      <c r="H32" s="24">
        <f t="shared" si="0"/>
        <v>6.666666666666667</v>
      </c>
      <c r="I32" s="11"/>
    </row>
    <row r="33" spans="2:9" ht="189" x14ac:dyDescent="0.25">
      <c r="B33" s="6">
        <v>18</v>
      </c>
      <c r="C33" s="2" t="s">
        <v>88</v>
      </c>
      <c r="D33" s="8" t="s">
        <v>121</v>
      </c>
      <c r="E33" s="10">
        <f>1+2+1+1+1+0+1+1+0</f>
        <v>8</v>
      </c>
      <c r="F33" s="10">
        <f t="shared" si="1"/>
        <v>3</v>
      </c>
      <c r="G33" s="10">
        <f>1+1+1+1+1+1+1+1</f>
        <v>8</v>
      </c>
      <c r="H33" s="24">
        <f t="shared" si="0"/>
        <v>6.333333333333333</v>
      </c>
      <c r="I33" s="10"/>
    </row>
    <row r="34" spans="2:9" ht="141.75" x14ac:dyDescent="0.25">
      <c r="B34" s="6">
        <v>27</v>
      </c>
      <c r="C34" s="2" t="s">
        <v>97</v>
      </c>
      <c r="D34" s="8" t="s">
        <v>130</v>
      </c>
      <c r="E34" s="10">
        <f>1+1+1+2+0+0+0+1+0</f>
        <v>6</v>
      </c>
      <c r="F34" s="10">
        <f t="shared" si="1"/>
        <v>3</v>
      </c>
      <c r="G34" s="10">
        <f>1+2+2+1+1+1+1+1</f>
        <v>10</v>
      </c>
      <c r="H34" s="24">
        <f t="shared" si="0"/>
        <v>6.333333333333333</v>
      </c>
      <c r="I34" s="10"/>
    </row>
    <row r="35" spans="2:9" ht="110.25" x14ac:dyDescent="0.25">
      <c r="B35" s="6">
        <v>28</v>
      </c>
      <c r="C35" s="3" t="s">
        <v>98</v>
      </c>
      <c r="D35" s="8" t="s">
        <v>131</v>
      </c>
      <c r="E35" s="10">
        <f>0+1+1+1+0+0+1+2+0</f>
        <v>6</v>
      </c>
      <c r="F35" s="10">
        <f t="shared" si="1"/>
        <v>3</v>
      </c>
      <c r="G35" s="10">
        <f>1+2+2+1+1+1+1+1</f>
        <v>10</v>
      </c>
      <c r="H35" s="24">
        <f t="shared" si="0"/>
        <v>6.333333333333333</v>
      </c>
      <c r="I35" s="10"/>
    </row>
    <row r="36" spans="2:9" ht="78.75" x14ac:dyDescent="0.25">
      <c r="B36" s="6">
        <v>30</v>
      </c>
      <c r="C36" s="2" t="s">
        <v>100</v>
      </c>
      <c r="D36" s="8" t="s">
        <v>133</v>
      </c>
      <c r="E36" s="10">
        <f>0+0+1+0+0+0+1+2+0</f>
        <v>4</v>
      </c>
      <c r="F36" s="10">
        <f t="shared" si="1"/>
        <v>3</v>
      </c>
      <c r="G36" s="10">
        <f>1+2+2+1+1+1+1+2</f>
        <v>11</v>
      </c>
      <c r="H36" s="24">
        <f t="shared" si="0"/>
        <v>6</v>
      </c>
      <c r="I36" s="10"/>
    </row>
  </sheetData>
  <autoFilter ref="B3:I36">
    <sortState ref="B4:I36">
      <sortCondition descending="1" ref="H4:H36"/>
    </sortState>
  </autoFilter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tabSelected="1" workbookViewId="0">
      <selection activeCell="C6" sqref="C6"/>
    </sheetView>
  </sheetViews>
  <sheetFormatPr defaultRowHeight="15.75" x14ac:dyDescent="0.25"/>
  <cols>
    <col min="2" max="2" width="3.28515625" style="7" bestFit="1" customWidth="1"/>
    <col min="3" max="3" width="23.5703125" style="1" bestFit="1" customWidth="1"/>
    <col min="4" max="4" width="25.7109375" style="9" customWidth="1"/>
    <col min="5" max="7" width="11.28515625" style="5" bestFit="1" customWidth="1"/>
    <col min="8" max="8" width="15.42578125" style="23" bestFit="1" customWidth="1"/>
    <col min="9" max="9" width="7.7109375" style="5" bestFit="1" customWidth="1"/>
  </cols>
  <sheetData>
    <row r="1" spans="2:10" x14ac:dyDescent="0.25">
      <c r="B1" s="5"/>
    </row>
    <row r="3" spans="2:10" x14ac:dyDescent="0.25">
      <c r="B3" s="12" t="s">
        <v>0</v>
      </c>
      <c r="C3" s="12" t="s">
        <v>1</v>
      </c>
      <c r="D3" s="13" t="s">
        <v>2</v>
      </c>
      <c r="E3" s="12" t="s">
        <v>47</v>
      </c>
      <c r="F3" s="12" t="s">
        <v>48</v>
      </c>
      <c r="G3" s="12" t="s">
        <v>49</v>
      </c>
      <c r="H3" s="21" t="s">
        <v>50</v>
      </c>
      <c r="I3" s="14" t="s">
        <v>51</v>
      </c>
    </row>
    <row r="4" spans="2:10" ht="126" x14ac:dyDescent="0.25">
      <c r="B4" s="6">
        <v>3</v>
      </c>
      <c r="C4" s="27" t="s">
        <v>139</v>
      </c>
      <c r="D4" s="28" t="s">
        <v>146</v>
      </c>
      <c r="E4" s="29">
        <f>1+2+2+3+1+0+2+2</f>
        <v>13</v>
      </c>
      <c r="F4" s="29">
        <f>1+2+5+1+1+0+1+2+1</f>
        <v>14</v>
      </c>
      <c r="G4" s="29">
        <f>1+1+4+2+1+0+1+2+1</f>
        <v>13</v>
      </c>
      <c r="H4" s="30">
        <f t="shared" ref="H4:H10" si="0">SUM(E4:G4)/3</f>
        <v>13.333333333333334</v>
      </c>
      <c r="I4" s="32" t="s">
        <v>152</v>
      </c>
    </row>
    <row r="5" spans="2:10" ht="141.75" x14ac:dyDescent="0.25">
      <c r="B5" s="6">
        <v>6</v>
      </c>
      <c r="C5" s="27" t="s">
        <v>142</v>
      </c>
      <c r="D5" s="28" t="s">
        <v>149</v>
      </c>
      <c r="E5" s="29">
        <f>1+2+3+3+1+0+1+2</f>
        <v>13</v>
      </c>
      <c r="F5" s="29">
        <f>1+2+4+2+1+0+1+2</f>
        <v>13</v>
      </c>
      <c r="G5" s="29">
        <f>1+2+3+3+1+0+1+2</f>
        <v>13</v>
      </c>
      <c r="H5" s="30">
        <f t="shared" si="0"/>
        <v>13</v>
      </c>
      <c r="I5" s="32" t="s">
        <v>153</v>
      </c>
    </row>
    <row r="6" spans="2:10" ht="110.25" x14ac:dyDescent="0.25">
      <c r="B6" s="6">
        <v>7</v>
      </c>
      <c r="C6" s="27" t="s">
        <v>143</v>
      </c>
      <c r="D6" s="28" t="s">
        <v>150</v>
      </c>
      <c r="E6" s="29">
        <f>1+2+3+3+1+1+1+2</f>
        <v>14</v>
      </c>
      <c r="F6" s="29">
        <f>1+2+3+1+1+1+1+2</f>
        <v>12</v>
      </c>
      <c r="G6" s="29">
        <f>1+2+4+1+1+1+1+1</f>
        <v>12</v>
      </c>
      <c r="H6" s="30">
        <f t="shared" si="0"/>
        <v>12.666666666666666</v>
      </c>
      <c r="I6" s="32" t="s">
        <v>154</v>
      </c>
    </row>
    <row r="7" spans="2:10" ht="78.75" x14ac:dyDescent="0.25">
      <c r="B7" s="6">
        <v>2</v>
      </c>
      <c r="C7" s="2" t="s">
        <v>138</v>
      </c>
      <c r="D7" s="8" t="s">
        <v>145</v>
      </c>
      <c r="E7" s="10">
        <f>1+2+5+3+1+1+1+2</f>
        <v>16</v>
      </c>
      <c r="F7" s="10">
        <f>1+2+2+2+1+1+1</f>
        <v>10</v>
      </c>
      <c r="G7" s="10">
        <f>1+2+2+2+1+1+1+1</f>
        <v>11</v>
      </c>
      <c r="H7" s="24">
        <f t="shared" si="0"/>
        <v>12.333333333333334</v>
      </c>
      <c r="I7" s="11"/>
    </row>
    <row r="8" spans="2:10" ht="78.75" x14ac:dyDescent="0.25">
      <c r="B8" s="6">
        <v>4</v>
      </c>
      <c r="C8" s="2" t="s">
        <v>140</v>
      </c>
      <c r="D8" s="8" t="s">
        <v>147</v>
      </c>
      <c r="E8" s="10">
        <f>1+2+4+3+1+1+1+2</f>
        <v>15</v>
      </c>
      <c r="F8" s="10">
        <f>1+1+2+0+0+1+1+2</f>
        <v>8</v>
      </c>
      <c r="G8" s="10">
        <f>1+2+4+0+1+1+1+1+1</f>
        <v>12</v>
      </c>
      <c r="H8" s="24">
        <f t="shared" si="0"/>
        <v>11.666666666666666</v>
      </c>
      <c r="I8" s="11"/>
    </row>
    <row r="9" spans="2:10" ht="110.25" x14ac:dyDescent="0.25">
      <c r="B9" s="6">
        <v>1</v>
      </c>
      <c r="C9" s="2" t="s">
        <v>137</v>
      </c>
      <c r="D9" s="8" t="s">
        <v>144</v>
      </c>
      <c r="E9" s="10">
        <f>1+2+3+3+1+0+1+2</f>
        <v>13</v>
      </c>
      <c r="F9" s="10">
        <f>1+2+2+2+0+0+1+2</f>
        <v>10</v>
      </c>
      <c r="G9" s="10">
        <f>1+1+3+3+1+0+1+0+0</f>
        <v>10</v>
      </c>
      <c r="H9" s="24">
        <f t="shared" si="0"/>
        <v>11</v>
      </c>
      <c r="I9" s="11"/>
    </row>
    <row r="10" spans="2:10" ht="173.25" x14ac:dyDescent="0.25">
      <c r="B10" s="6">
        <v>5</v>
      </c>
      <c r="C10" s="2" t="s">
        <v>141</v>
      </c>
      <c r="D10" s="8" t="s">
        <v>148</v>
      </c>
      <c r="E10" s="10">
        <f>1+2+3+2+1+0+1+2</f>
        <v>12</v>
      </c>
      <c r="F10" s="10">
        <f>1+2+2+0+0+0+1+2</f>
        <v>8</v>
      </c>
      <c r="G10" s="10">
        <f>1+2+2+3+1+0+1+2</f>
        <v>12</v>
      </c>
      <c r="H10" s="24">
        <f t="shared" si="0"/>
        <v>10.666666666666666</v>
      </c>
      <c r="I10" s="11"/>
    </row>
    <row r="11" spans="2:10" x14ac:dyDescent="0.25">
      <c r="B11" s="16"/>
      <c r="C11" s="17"/>
      <c r="D11" s="18"/>
      <c r="E11" s="19"/>
      <c r="F11" s="19"/>
      <c r="G11" s="19"/>
      <c r="H11" s="25"/>
      <c r="I11" s="19"/>
      <c r="J11" s="15"/>
    </row>
    <row r="12" spans="2:10" x14ac:dyDescent="0.25">
      <c r="B12" s="16"/>
      <c r="C12" s="17"/>
      <c r="D12" s="18"/>
      <c r="E12" s="18"/>
      <c r="F12" s="19"/>
      <c r="G12" s="19"/>
      <c r="H12" s="25"/>
      <c r="I12" s="19"/>
      <c r="J12" s="15"/>
    </row>
    <row r="13" spans="2:10" x14ac:dyDescent="0.25">
      <c r="B13" s="16"/>
      <c r="C13" s="17"/>
      <c r="D13" s="18"/>
      <c r="E13" s="19"/>
      <c r="F13" s="19"/>
      <c r="G13" s="19"/>
      <c r="H13" s="25"/>
      <c r="I13" s="19"/>
      <c r="J13" s="15"/>
    </row>
    <row r="14" spans="2:10" x14ac:dyDescent="0.25">
      <c r="B14" s="16"/>
      <c r="C14" s="17"/>
      <c r="D14" s="18"/>
      <c r="E14" s="19"/>
      <c r="F14" s="19"/>
      <c r="G14" s="19"/>
      <c r="H14" s="25"/>
      <c r="I14" s="19"/>
      <c r="J14" s="15"/>
    </row>
    <row r="15" spans="2:10" x14ac:dyDescent="0.25">
      <c r="B15" s="16"/>
      <c r="C15" s="17"/>
      <c r="D15" s="18"/>
      <c r="E15" s="19"/>
      <c r="F15" s="19"/>
      <c r="G15" s="19"/>
      <c r="H15" s="25"/>
      <c r="I15" s="19"/>
      <c r="J15" s="15"/>
    </row>
    <row r="16" spans="2:10" x14ac:dyDescent="0.25">
      <c r="B16" s="16"/>
      <c r="C16" s="17"/>
      <c r="D16" s="18"/>
      <c r="E16" s="19"/>
      <c r="F16" s="19"/>
      <c r="G16" s="19"/>
      <c r="H16" s="25"/>
      <c r="I16" s="19"/>
      <c r="J16" s="15"/>
    </row>
    <row r="17" spans="2:10" x14ac:dyDescent="0.25">
      <c r="B17" s="16"/>
      <c r="C17" s="17"/>
      <c r="D17" s="18"/>
      <c r="E17" s="19"/>
      <c r="F17" s="19"/>
      <c r="G17" s="19"/>
      <c r="H17" s="25"/>
      <c r="I17" s="19"/>
      <c r="J17" s="15"/>
    </row>
    <row r="18" spans="2:10" x14ac:dyDescent="0.25">
      <c r="B18" s="16"/>
      <c r="C18" s="17"/>
      <c r="D18" s="18"/>
      <c r="E18" s="19"/>
      <c r="F18" s="19"/>
      <c r="G18" s="19"/>
      <c r="H18" s="25"/>
      <c r="I18" s="19"/>
      <c r="J18" s="15"/>
    </row>
    <row r="19" spans="2:10" x14ac:dyDescent="0.25">
      <c r="B19" s="16"/>
      <c r="C19" s="17"/>
      <c r="D19" s="18"/>
      <c r="E19" s="19"/>
      <c r="F19" s="19"/>
      <c r="G19" s="19"/>
      <c r="H19" s="25"/>
      <c r="I19" s="19"/>
      <c r="J19" s="15"/>
    </row>
    <row r="20" spans="2:10" x14ac:dyDescent="0.25">
      <c r="B20" s="16"/>
      <c r="C20" s="17"/>
      <c r="D20" s="18"/>
      <c r="E20" s="19"/>
      <c r="F20" s="19"/>
      <c r="G20" s="19"/>
      <c r="H20" s="25"/>
      <c r="I20" s="19"/>
      <c r="J20" s="15"/>
    </row>
    <row r="21" spans="2:10" x14ac:dyDescent="0.25">
      <c r="B21" s="16"/>
      <c r="C21" s="17"/>
      <c r="D21" s="18"/>
      <c r="E21" s="19"/>
      <c r="F21" s="19"/>
      <c r="G21" s="19"/>
      <c r="H21" s="25"/>
      <c r="I21" s="19"/>
      <c r="J21" s="15"/>
    </row>
    <row r="22" spans="2:10" x14ac:dyDescent="0.25">
      <c r="B22" s="16"/>
      <c r="C22" s="17"/>
      <c r="D22" s="18"/>
      <c r="E22" s="19"/>
      <c r="F22" s="19"/>
      <c r="G22" s="19"/>
      <c r="H22" s="25"/>
      <c r="I22" s="19"/>
      <c r="J22" s="15"/>
    </row>
    <row r="23" spans="2:10" x14ac:dyDescent="0.25">
      <c r="B23" s="16"/>
      <c r="C23" s="17"/>
      <c r="D23" s="18"/>
      <c r="E23" s="19"/>
      <c r="F23" s="19"/>
      <c r="G23" s="19"/>
      <c r="H23" s="25"/>
      <c r="I23" s="19"/>
      <c r="J23" s="15"/>
    </row>
    <row r="24" spans="2:10" x14ac:dyDescent="0.25">
      <c r="B24" s="16"/>
      <c r="C24" s="17"/>
      <c r="D24" s="18"/>
      <c r="E24" s="19"/>
      <c r="F24" s="19"/>
      <c r="G24" s="19"/>
      <c r="H24" s="25"/>
      <c r="I24" s="19"/>
      <c r="J24" s="15"/>
    </row>
    <row r="25" spans="2:10" x14ac:dyDescent="0.25">
      <c r="B25" s="16"/>
      <c r="C25" s="17"/>
      <c r="D25" s="18"/>
      <c r="E25" s="19"/>
      <c r="F25" s="19"/>
      <c r="G25" s="19"/>
      <c r="H25" s="25"/>
      <c r="I25" s="19"/>
      <c r="J25" s="15"/>
    </row>
    <row r="26" spans="2:10" x14ac:dyDescent="0.25">
      <c r="B26" s="16"/>
      <c r="C26" s="17"/>
      <c r="D26" s="18"/>
      <c r="E26" s="19"/>
      <c r="F26" s="19"/>
      <c r="G26" s="19"/>
      <c r="H26" s="25"/>
      <c r="I26" s="19"/>
      <c r="J26" s="15"/>
    </row>
    <row r="27" spans="2:10" x14ac:dyDescent="0.25">
      <c r="B27" s="16"/>
      <c r="C27" s="17"/>
      <c r="D27" s="18"/>
      <c r="E27" s="19"/>
      <c r="F27" s="19"/>
      <c r="G27" s="19"/>
      <c r="H27" s="25"/>
      <c r="I27" s="19"/>
      <c r="J27" s="15"/>
    </row>
    <row r="28" spans="2:10" x14ac:dyDescent="0.25">
      <c r="B28" s="16"/>
      <c r="C28" s="17"/>
      <c r="D28" s="18"/>
      <c r="E28" s="19"/>
      <c r="F28" s="19"/>
      <c r="G28" s="19"/>
      <c r="H28" s="25"/>
      <c r="I28" s="19"/>
      <c r="J28" s="15"/>
    </row>
    <row r="29" spans="2:10" x14ac:dyDescent="0.25">
      <c r="B29" s="16"/>
      <c r="C29" s="17"/>
      <c r="D29" s="18"/>
      <c r="E29" s="19"/>
      <c r="F29" s="19"/>
      <c r="G29" s="19"/>
      <c r="H29" s="25"/>
      <c r="I29" s="19"/>
      <c r="J29" s="15"/>
    </row>
    <row r="30" spans="2:10" x14ac:dyDescent="0.25">
      <c r="B30" s="16"/>
      <c r="C30" s="17"/>
      <c r="D30" s="18"/>
      <c r="E30" s="19"/>
      <c r="F30" s="19"/>
      <c r="G30" s="19"/>
      <c r="H30" s="25"/>
      <c r="I30" s="19"/>
      <c r="J30" s="15"/>
    </row>
    <row r="31" spans="2:10" x14ac:dyDescent="0.25">
      <c r="B31" s="16"/>
      <c r="C31" s="20"/>
      <c r="D31" s="18"/>
      <c r="E31" s="19"/>
      <c r="F31" s="19"/>
      <c r="G31" s="19"/>
      <c r="H31" s="25"/>
      <c r="I31" s="19"/>
      <c r="J31" s="15"/>
    </row>
    <row r="32" spans="2:10" x14ac:dyDescent="0.25">
      <c r="B32" s="16"/>
      <c r="C32" s="17"/>
      <c r="D32" s="18"/>
      <c r="E32" s="19"/>
      <c r="F32" s="19"/>
      <c r="G32" s="19"/>
      <c r="H32" s="25"/>
      <c r="I32" s="19"/>
      <c r="J32" s="15"/>
    </row>
    <row r="33" spans="2:10" x14ac:dyDescent="0.25">
      <c r="B33" s="16"/>
      <c r="C33" s="17"/>
      <c r="D33" s="18"/>
      <c r="E33" s="19"/>
      <c r="F33" s="19"/>
      <c r="G33" s="19"/>
      <c r="H33" s="25"/>
      <c r="I33" s="19"/>
      <c r="J33" s="15"/>
    </row>
    <row r="34" spans="2:10" x14ac:dyDescent="0.25">
      <c r="B34" s="16"/>
      <c r="C34" s="17"/>
      <c r="D34" s="18"/>
      <c r="E34" s="19"/>
      <c r="F34" s="19"/>
      <c r="G34" s="19"/>
      <c r="H34" s="25"/>
      <c r="I34" s="19"/>
      <c r="J34" s="15"/>
    </row>
    <row r="35" spans="2:10" x14ac:dyDescent="0.25">
      <c r="B35" s="16"/>
      <c r="C35" s="17"/>
      <c r="D35" s="18"/>
      <c r="E35" s="19"/>
      <c r="F35" s="19"/>
      <c r="G35" s="19"/>
      <c r="H35" s="25"/>
      <c r="I35" s="19"/>
      <c r="J35" s="15"/>
    </row>
    <row r="36" spans="2:10" x14ac:dyDescent="0.25">
      <c r="B36" s="19"/>
      <c r="C36" s="17"/>
      <c r="D36" s="18"/>
      <c r="E36" s="19"/>
      <c r="F36" s="19"/>
      <c r="G36" s="19"/>
      <c r="H36" s="25"/>
      <c r="I36" s="19"/>
      <c r="J36" s="15"/>
    </row>
  </sheetData>
  <autoFilter ref="B3:I10">
    <sortState ref="B4:I10">
      <sortCondition descending="1" ref="H3:H10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Лист4</vt:lpstr>
      <vt:lpstr>Сводная</vt:lpstr>
      <vt:lpstr>Секция 1</vt:lpstr>
      <vt:lpstr>Секция 2</vt:lpstr>
      <vt:lpstr>Секция 3</vt:lpstr>
      <vt:lpstr>Сводная!_gjdgxs</vt:lpstr>
      <vt:lpstr>Сводная!_Hlk124849738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2023-02-14T09:51:39Z</dcterms:modified>
</cp:coreProperties>
</file>